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480" yWindow="15" windowWidth="12105" windowHeight="12780" tabRatio="867" activeTab="2"/>
  </bookViews>
  <sheets>
    <sheet name="Хабаровск-1" sheetId="45" r:id="rId1"/>
    <sheet name="Хабаровск-2" sheetId="35" r:id="rId2"/>
    <sheet name="Комсомольск" sheetId="33" r:id="rId3"/>
    <sheet name="Верхнебур" sheetId="8" r:id="rId4"/>
    <sheet name="ЛАЗО" sheetId="34" r:id="rId5"/>
  </sheets>
  <externalReferences>
    <externalReference r:id="rId6"/>
    <externalReference r:id="rId7"/>
  </externalReferences>
  <definedNames>
    <definedName name="_xlnm._FilterDatabase" localSheetId="3" hidden="1">Верхнебур!$A$9:$F$94</definedName>
    <definedName name="_xlnm._FilterDatabase" localSheetId="2" hidden="1">Комсомольск!$A$9:$AI$812</definedName>
    <definedName name="_xlnm._FilterDatabase" localSheetId="4" hidden="1">ЛАЗО!$A$9:$EQ$9</definedName>
    <definedName name="_xlnm._FilterDatabase" localSheetId="0" hidden="1">'Хабаровск-1'!$C$8:$H$752</definedName>
    <definedName name="_xlnm._FilterDatabase" localSheetId="1" hidden="1">'Хабаровск-2'!$A$8:$I$1644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Верхнебур!$6:$9</definedName>
    <definedName name="_xlnm.Print_Titles" localSheetId="2">Комсомольск!$1:$9</definedName>
    <definedName name="_xlnm.Print_Titles" localSheetId="4">ЛАЗО!$6:$8</definedName>
    <definedName name="_xlnm.Print_Titles" localSheetId="0">'Хабаровск-1'!$1:$8</definedName>
    <definedName name="_xlnm.Print_Titles" localSheetId="1">'Хабаровск-2'!$C:$C,'Хабаровск-2'!$3:$8</definedName>
    <definedName name="_xlnm.Print_Area" localSheetId="3">Верхнебур!$A$4:$F$93</definedName>
    <definedName name="_xlnm.Print_Area" localSheetId="2">Комсомольск!$D$3:$I$810</definedName>
    <definedName name="_xlnm.Print_Area" localSheetId="4">ЛАЗО!$A$3:$F$105</definedName>
    <definedName name="_xlnm.Print_Area" localSheetId="0">'Хабаровск-1'!$C$1:$H$752</definedName>
    <definedName name="_xlnm.Print_Area" localSheetId="1">'Хабаровск-2'!$C$1:$H$1548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5" i="45" l="1"/>
  <c r="G435" i="45" s="1"/>
  <c r="H434" i="45"/>
  <c r="G434" i="45"/>
  <c r="H430" i="45"/>
  <c r="G430" i="45" s="1"/>
  <c r="H429" i="45"/>
  <c r="G429" i="45" s="1"/>
  <c r="H363" i="45"/>
  <c r="G363" i="45"/>
  <c r="H362" i="45"/>
  <c r="G362" i="45"/>
  <c r="H361" i="45"/>
  <c r="G361" i="45" s="1"/>
  <c r="H360" i="45"/>
  <c r="G360" i="45"/>
  <c r="H359" i="45"/>
  <c r="G359" i="45"/>
  <c r="H358" i="45"/>
  <c r="G358" i="45" s="1"/>
  <c r="E1259" i="35" l="1"/>
  <c r="E1269" i="35"/>
  <c r="C17" i="34" l="1"/>
  <c r="C16" i="34"/>
  <c r="F267" i="33"/>
  <c r="F266" i="33"/>
  <c r="F264" i="33"/>
  <c r="F261" i="33"/>
  <c r="E32" i="35"/>
  <c r="C20" i="34" l="1"/>
  <c r="F13" i="34"/>
  <c r="E13" i="34" s="1"/>
  <c r="E1121" i="35" l="1"/>
  <c r="E1117" i="35" l="1"/>
  <c r="E1608" i="35"/>
  <c r="E1128" i="35"/>
  <c r="E1595" i="35"/>
  <c r="H1139" i="35" l="1"/>
  <c r="G1139" i="35" l="1"/>
  <c r="E27" i="45" l="1"/>
  <c r="C18" i="8" l="1"/>
  <c r="C12" i="8"/>
  <c r="C13" i="8"/>
  <c r="E436" i="45" l="1"/>
  <c r="E431" i="45"/>
  <c r="H112" i="45"/>
  <c r="G112" i="45" s="1"/>
  <c r="E113" i="45"/>
  <c r="E36" i="45"/>
  <c r="E364" i="45" l="1"/>
  <c r="E14" i="35"/>
  <c r="E13" i="35"/>
  <c r="E281" i="45"/>
  <c r="E279" i="45"/>
  <c r="E286" i="45"/>
  <c r="E288" i="45"/>
  <c r="E287" i="45"/>
  <c r="E290" i="45" l="1"/>
  <c r="E682" i="35" l="1"/>
  <c r="F185" i="33" l="1"/>
  <c r="F188" i="33"/>
  <c r="C19" i="34"/>
  <c r="F273" i="33"/>
  <c r="F269" i="33"/>
  <c r="F262" i="33"/>
  <c r="E137" i="35"/>
  <c r="E323" i="35" l="1"/>
  <c r="E292" i="35"/>
  <c r="E375" i="45" l="1"/>
  <c r="E370" i="45"/>
  <c r="C62" i="34" l="1"/>
  <c r="C57" i="8"/>
  <c r="F534" i="33"/>
  <c r="F488" i="33"/>
  <c r="F61" i="33"/>
  <c r="E784" i="35"/>
  <c r="E574" i="35"/>
  <c r="E509" i="35"/>
  <c r="E441" i="35"/>
  <c r="E201" i="35"/>
  <c r="E76" i="35"/>
  <c r="E301" i="45"/>
  <c r="E50" i="45"/>
  <c r="F479" i="33" l="1"/>
  <c r="E431" i="35"/>
  <c r="E499" i="35"/>
  <c r="E1593" i="35" l="1"/>
  <c r="E1592" i="35"/>
  <c r="E1591" i="35"/>
  <c r="E1590" i="35" l="1"/>
  <c r="E1565" i="35" l="1"/>
  <c r="E1478" i="35"/>
  <c r="E1414" i="35"/>
  <c r="E1349" i="35"/>
  <c r="E1241" i="35"/>
  <c r="E881" i="35"/>
  <c r="E822" i="35"/>
  <c r="E756" i="35"/>
  <c r="E696" i="35"/>
  <c r="E634" i="35"/>
  <c r="E546" i="35"/>
  <c r="E481" i="35"/>
  <c r="E413" i="35"/>
  <c r="E48" i="35"/>
  <c r="F749" i="33" l="1"/>
  <c r="F681" i="33"/>
  <c r="F599" i="33"/>
  <c r="F286" i="33"/>
  <c r="F197" i="33"/>
  <c r="F120" i="33"/>
  <c r="F33" i="33"/>
  <c r="C28" i="8" l="1"/>
  <c r="C32" i="34"/>
  <c r="F104" i="33" l="1"/>
  <c r="C91" i="34" l="1"/>
  <c r="C90" i="34"/>
  <c r="E1610" i="35" l="1"/>
  <c r="C68" i="8" l="1"/>
  <c r="F242" i="33"/>
  <c r="F238" i="33"/>
  <c r="E1586" i="35" l="1"/>
  <c r="E1587" i="35"/>
  <c r="E1513" i="35" l="1"/>
  <c r="F353" i="33" l="1"/>
  <c r="F340" i="33"/>
  <c r="F344" i="33" l="1"/>
  <c r="E744" i="35"/>
  <c r="E869" i="35"/>
  <c r="E811" i="35"/>
  <c r="E511" i="45" l="1"/>
  <c r="E341" i="45" l="1"/>
  <c r="E336" i="45"/>
  <c r="E363" i="35" l="1"/>
  <c r="E334" i="35"/>
  <c r="E287" i="35" l="1"/>
  <c r="E1212" i="35"/>
  <c r="E1141" i="35"/>
  <c r="E1031" i="35" l="1"/>
  <c r="C99" i="34" l="1"/>
  <c r="C93" i="34"/>
  <c r="C22" i="34"/>
  <c r="E149" i="45" l="1"/>
  <c r="E538" i="35" l="1"/>
  <c r="E622" i="35" l="1"/>
  <c r="E469" i="35"/>
  <c r="F731" i="33" l="1"/>
  <c r="F672" i="33"/>
  <c r="E162" i="35" l="1"/>
  <c r="E143" i="35"/>
  <c r="E1397" i="35" l="1"/>
  <c r="E25" i="35" l="1"/>
  <c r="E15" i="35"/>
  <c r="E932" i="35"/>
  <c r="I15" i="35" l="1"/>
  <c r="E1333" i="35" l="1"/>
  <c r="E1327" i="35"/>
  <c r="H1218" i="35"/>
  <c r="H1231" i="35"/>
  <c r="H1224" i="35"/>
  <c r="G1224" i="35" l="1"/>
  <c r="G1231" i="35"/>
  <c r="E685" i="35" l="1"/>
  <c r="F277" i="33" l="1"/>
  <c r="F175" i="33" l="1"/>
  <c r="F111" i="33"/>
  <c r="F23" i="33" l="1"/>
  <c r="F519" i="33"/>
  <c r="F456" i="33"/>
  <c r="F24" i="33" l="1"/>
  <c r="E324" i="35" l="1"/>
  <c r="E295" i="35"/>
  <c r="E34" i="45" l="1"/>
  <c r="E38" i="45" s="1"/>
  <c r="F399" i="33"/>
  <c r="F367" i="33"/>
  <c r="C47" i="34" l="1"/>
  <c r="E118" i="45" l="1"/>
  <c r="F734" i="33" l="1"/>
  <c r="F515" i="33"/>
  <c r="E1525" i="35"/>
  <c r="E530" i="35"/>
  <c r="E115" i="35" l="1"/>
  <c r="E119" i="35"/>
  <c r="E39" i="35"/>
  <c r="I39" i="35" s="1"/>
  <c r="F407" i="33" l="1"/>
  <c r="F255" i="33"/>
  <c r="F249" i="33"/>
  <c r="F189" i="33"/>
  <c r="E437" i="45" l="1"/>
  <c r="E259" i="45"/>
  <c r="E201" i="45" l="1"/>
  <c r="C88" i="8" l="1"/>
  <c r="C83" i="8"/>
  <c r="C20" i="8"/>
  <c r="E401" i="35" l="1"/>
  <c r="E371" i="35"/>
  <c r="E1083" i="35" l="1"/>
  <c r="E1605" i="35" l="1"/>
  <c r="E1600" i="35" l="1"/>
  <c r="E1609" i="35" l="1"/>
  <c r="E1232" i="35" l="1"/>
  <c r="E580" i="45"/>
  <c r="B11" i="35" l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B22" i="35" s="1"/>
  <c r="B23" i="35" s="1"/>
  <c r="B24" i="35" s="1"/>
  <c r="B25" i="35" s="1"/>
  <c r="B26" i="35" s="1"/>
  <c r="B27" i="35" s="1"/>
  <c r="B28" i="35" s="1"/>
  <c r="B29" i="35" s="1"/>
  <c r="B30" i="35" s="1"/>
  <c r="B31" i="35" s="1"/>
  <c r="B32" i="35" s="1"/>
  <c r="B33" i="35" s="1"/>
  <c r="B34" i="35" s="1"/>
  <c r="B35" i="35" s="1"/>
  <c r="B36" i="35" s="1"/>
  <c r="B37" i="35" s="1"/>
  <c r="B38" i="35" s="1"/>
  <c r="B39" i="35" s="1"/>
  <c r="B40" i="35" s="1"/>
  <c r="B41" i="35" s="1"/>
  <c r="B42" i="35" s="1"/>
  <c r="B43" i="35" s="1"/>
  <c r="B44" i="35" s="1"/>
  <c r="B45" i="35" s="1"/>
  <c r="B46" i="35" s="1"/>
  <c r="B47" i="35" s="1"/>
  <c r="B48" i="35" s="1"/>
  <c r="B49" i="35" s="1"/>
  <c r="B50" i="35" s="1"/>
  <c r="B52" i="35" s="1"/>
  <c r="B53" i="35" s="1"/>
  <c r="B54" i="35" s="1"/>
  <c r="B55" i="35" s="1"/>
  <c r="B56" i="35" s="1"/>
  <c r="B57" i="35" s="1"/>
  <c r="B58" i="35" s="1"/>
  <c r="B59" i="35" s="1"/>
  <c r="B60" i="35" s="1"/>
  <c r="B61" i="35" s="1"/>
  <c r="B62" i="35" s="1"/>
  <c r="B63" i="35" s="1"/>
  <c r="B64" i="35" s="1"/>
  <c r="B65" i="35" s="1"/>
  <c r="B66" i="35" s="1"/>
  <c r="B67" i="35" s="1"/>
  <c r="B68" i="35" s="1"/>
  <c r="B69" i="35" s="1"/>
  <c r="B70" i="35" s="1"/>
  <c r="B71" i="35" s="1"/>
  <c r="B72" i="35" s="1"/>
  <c r="B73" i="35" s="1"/>
  <c r="B74" i="35" s="1"/>
  <c r="B75" i="35" s="1"/>
  <c r="B79" i="35" s="1"/>
  <c r="B80" i="35" s="1"/>
  <c r="B81" i="35" s="1"/>
  <c r="B82" i="35" s="1"/>
  <c r="B83" i="35" s="1"/>
  <c r="B84" i="35" s="1"/>
  <c r="B85" i="35" s="1"/>
  <c r="B86" i="35" s="1"/>
  <c r="B87" i="35" s="1"/>
  <c r="B88" i="35" s="1"/>
  <c r="B89" i="35" s="1"/>
  <c r="B90" i="35" s="1"/>
  <c r="B91" i="35" s="1"/>
  <c r="B92" i="35" s="1"/>
  <c r="B94" i="35" s="1"/>
  <c r="B95" i="35" s="1"/>
  <c r="B96" i="35" s="1"/>
  <c r="B97" i="35" s="1"/>
  <c r="B98" i="35" s="1"/>
  <c r="B99" i="35" s="1"/>
  <c r="B100" i="35" s="1"/>
  <c r="B101" i="35" s="1"/>
  <c r="B102" i="35" s="1"/>
  <c r="B103" i="35" s="1"/>
  <c r="B104" i="35" s="1"/>
  <c r="B105" i="35" s="1"/>
  <c r="B106" i="35" s="1"/>
  <c r="B107" i="35" s="1"/>
  <c r="B108" i="35" s="1"/>
  <c r="B109" i="35" s="1"/>
  <c r="B110" i="35" s="1"/>
  <c r="B111" i="35" s="1"/>
  <c r="B112" i="35" s="1"/>
  <c r="B113" i="35" s="1"/>
  <c r="B114" i="35" s="1"/>
  <c r="B115" i="35" s="1"/>
  <c r="B116" i="35" s="1"/>
  <c r="B117" i="35" s="1"/>
  <c r="B118" i="35" s="1"/>
  <c r="B119" i="35" s="1"/>
  <c r="B120" i="35" s="1"/>
  <c r="B121" i="35" s="1"/>
  <c r="B122" i="35" s="1"/>
  <c r="B123" i="35" s="1"/>
  <c r="B124" i="35" s="1"/>
  <c r="B125" i="35" s="1"/>
  <c r="B126" i="35" s="1"/>
  <c r="B127" i="35" s="1"/>
  <c r="B128" i="35" s="1"/>
  <c r="B129" i="35" s="1"/>
  <c r="B130" i="35" s="1"/>
  <c r="B131" i="35" s="1"/>
  <c r="B132" i="35" s="1"/>
  <c r="B133" i="35" s="1"/>
  <c r="B134" i="35" s="1"/>
  <c r="B135" i="35" s="1"/>
  <c r="B136" i="35" s="1"/>
  <c r="B137" i="35" s="1"/>
  <c r="B138" i="35" s="1"/>
  <c r="B139" i="35" s="1"/>
  <c r="B140" i="35" s="1"/>
  <c r="B141" i="35" s="1"/>
  <c r="B142" i="35" s="1"/>
  <c r="B143" i="35" s="1"/>
  <c r="B144" i="35" s="1"/>
  <c r="B145" i="35" s="1"/>
  <c r="B146" i="35" s="1"/>
  <c r="B147" i="35" s="1"/>
  <c r="B148" i="35" s="1"/>
  <c r="B149" i="35" s="1"/>
  <c r="B150" i="35" s="1"/>
  <c r="B151" i="35" s="1"/>
  <c r="B152" i="35" s="1"/>
  <c r="B153" i="35" s="1"/>
  <c r="B154" i="35" s="1"/>
  <c r="B155" i="35" s="1"/>
  <c r="B156" i="35" s="1"/>
  <c r="B157" i="35" s="1"/>
  <c r="B158" i="35" s="1"/>
  <c r="B159" i="35" s="1"/>
  <c r="B160" i="35" s="1"/>
  <c r="B161" i="35" s="1"/>
  <c r="B162" i="35" s="1"/>
  <c r="B163" i="35" s="1"/>
  <c r="B164" i="35" s="1"/>
  <c r="B165" i="35" s="1"/>
  <c r="B166" i="35" s="1"/>
  <c r="B167" i="35" s="1"/>
  <c r="B168" i="35" s="1"/>
  <c r="B169" i="35" s="1"/>
  <c r="B170" i="35" s="1"/>
  <c r="B171" i="35" s="1"/>
  <c r="B172" i="35" s="1"/>
  <c r="B173" i="35" s="1"/>
  <c r="B174" i="35" s="1"/>
  <c r="B175" i="35" s="1"/>
  <c r="B176" i="35" s="1"/>
  <c r="B177" i="35" s="1"/>
  <c r="B178" i="35" s="1"/>
  <c r="B179" i="35" s="1"/>
  <c r="B180" i="35" s="1"/>
  <c r="B181" i="35" s="1"/>
  <c r="B182" i="35" s="1"/>
  <c r="B183" i="35" s="1"/>
  <c r="B184" i="35" s="1"/>
  <c r="B185" i="35" s="1"/>
  <c r="B186" i="35" s="1"/>
  <c r="B187" i="35" s="1"/>
  <c r="B188" i="35" s="1"/>
  <c r="B189" i="35" s="1"/>
  <c r="B190" i="35" s="1"/>
  <c r="B191" i="35" s="1"/>
  <c r="B192" i="35" s="1"/>
  <c r="B193" i="35" s="1"/>
  <c r="B194" i="35" s="1"/>
  <c r="B195" i="35" s="1"/>
  <c r="B196" i="35" s="1"/>
  <c r="B197" i="35" s="1"/>
  <c r="B198" i="35" s="1"/>
  <c r="B199" i="35" s="1"/>
  <c r="B200" i="35" s="1"/>
  <c r="B203" i="35" s="1"/>
  <c r="B204" i="35" s="1"/>
  <c r="B205" i="35" s="1"/>
  <c r="B206" i="35" s="1"/>
  <c r="B207" i="35" s="1"/>
  <c r="B208" i="35" s="1"/>
  <c r="B209" i="35" s="1"/>
  <c r="B210" i="35" s="1"/>
  <c r="B211" i="35" s="1"/>
  <c r="B212" i="35" s="1"/>
  <c r="B213" i="35" s="1"/>
  <c r="B214" i="35" s="1"/>
  <c r="B215" i="35" s="1"/>
  <c r="B216" i="35" s="1"/>
  <c r="B217" i="35" s="1"/>
  <c r="B218" i="35" s="1"/>
  <c r="B220" i="35" s="1"/>
  <c r="B221" i="35" s="1"/>
  <c r="B222" i="35" s="1"/>
  <c r="B223" i="35" s="1"/>
  <c r="B224" i="35" s="1"/>
  <c r="B225" i="35" s="1"/>
  <c r="B226" i="35" s="1"/>
  <c r="B227" i="35" s="1"/>
  <c r="B228" i="35" s="1"/>
  <c r="B229" i="35" s="1"/>
  <c r="B230" i="35" s="1"/>
  <c r="B231" i="35" s="1"/>
  <c r="B232" i="35" s="1"/>
  <c r="B233" i="35" s="1"/>
  <c r="B234" i="35" s="1"/>
  <c r="B235" i="35" s="1"/>
  <c r="B236" i="35" s="1"/>
  <c r="B237" i="35" s="1"/>
  <c r="B238" i="35" s="1"/>
  <c r="B239" i="35" s="1"/>
  <c r="B240" i="35" s="1"/>
  <c r="B241" i="35" s="1"/>
  <c r="B242" i="35" s="1"/>
  <c r="B243" i="35" s="1"/>
  <c r="B244" i="35" s="1"/>
  <c r="B245" i="35" s="1"/>
  <c r="B246" i="35" s="1"/>
  <c r="B247" i="35" s="1"/>
  <c r="B248" i="35" s="1"/>
  <c r="B249" i="35" s="1"/>
  <c r="B250" i="35" s="1"/>
  <c r="B251" i="35" s="1"/>
  <c r="B252" i="35" s="1"/>
  <c r="B253" i="35" s="1"/>
  <c r="B254" i="35" s="1"/>
  <c r="B255" i="35" s="1"/>
  <c r="B256" i="35" s="1"/>
  <c r="B257" i="35" s="1"/>
  <c r="B258" i="35" s="1"/>
  <c r="B259" i="35" s="1"/>
  <c r="B260" i="35" s="1"/>
  <c r="B261" i="35" s="1"/>
  <c r="B262" i="35" s="1"/>
  <c r="B263" i="35" s="1"/>
  <c r="B264" i="35" s="1"/>
  <c r="B265" i="35" s="1"/>
  <c r="B266" i="35" s="1"/>
  <c r="B267" i="35" s="1"/>
  <c r="B268" i="35" s="1"/>
  <c r="B269" i="35" s="1"/>
  <c r="B270" i="35" s="1"/>
  <c r="B271" i="35" s="1"/>
  <c r="B272" i="35" s="1"/>
  <c r="B273" i="35" s="1"/>
  <c r="B274" i="35" s="1"/>
  <c r="B275" i="35" s="1"/>
  <c r="B276" i="35" s="1"/>
  <c r="B277" i="35" s="1"/>
  <c r="B278" i="35" s="1"/>
  <c r="B279" i="35" s="1"/>
  <c r="B280" i="35" s="1"/>
  <c r="B281" i="35" s="1"/>
  <c r="B282" i="35" s="1"/>
  <c r="B283" i="35" s="1"/>
  <c r="B284" i="35" s="1"/>
  <c r="B285" i="35" s="1"/>
  <c r="B286" i="35" s="1"/>
  <c r="B287" i="35" s="1"/>
  <c r="B288" i="35" s="1"/>
  <c r="B289" i="35" s="1"/>
  <c r="B290" i="35" s="1"/>
  <c r="B291" i="35" s="1"/>
  <c r="B292" i="35" s="1"/>
  <c r="B293" i="35" s="1"/>
  <c r="B294" i="35" s="1"/>
  <c r="B295" i="35" s="1"/>
  <c r="B296" i="35" s="1"/>
  <c r="B297" i="35" s="1"/>
  <c r="B298" i="35" s="1"/>
  <c r="B299" i="35" s="1"/>
  <c r="B300" i="35" s="1"/>
  <c r="B301" i="35" s="1"/>
  <c r="B302" i="35" s="1"/>
  <c r="B303" i="35" s="1"/>
  <c r="B304" i="35" s="1"/>
  <c r="B305" i="35" s="1"/>
  <c r="B306" i="35" s="1"/>
  <c r="B307" i="35" s="1"/>
  <c r="B308" i="35" s="1"/>
  <c r="B309" i="35" s="1"/>
  <c r="B310" i="35" s="1"/>
  <c r="B311" i="35" s="1"/>
  <c r="B312" i="35" s="1"/>
  <c r="B313" i="35" s="1"/>
  <c r="B314" i="35" s="1"/>
  <c r="B315" i="35" s="1"/>
  <c r="B316" i="35" s="1"/>
  <c r="B317" i="35" s="1"/>
  <c r="B318" i="35" s="1"/>
  <c r="B319" i="35" s="1"/>
  <c r="B320" i="35" s="1"/>
  <c r="B321" i="35" s="1"/>
  <c r="B322" i="35" s="1"/>
  <c r="B323" i="35" s="1"/>
  <c r="B324" i="35" s="1"/>
  <c r="B325" i="35" s="1"/>
  <c r="B326" i="35" s="1"/>
  <c r="B327" i="35" s="1"/>
  <c r="B328" i="35" s="1"/>
  <c r="B329" i="35" s="1"/>
  <c r="B330" i="35" s="1"/>
  <c r="B331" i="35" s="1"/>
  <c r="B332" i="35" s="1"/>
  <c r="B333" i="35" s="1"/>
  <c r="B334" i="35" s="1"/>
  <c r="B335" i="35" s="1"/>
  <c r="B336" i="35" s="1"/>
  <c r="B337" i="35" s="1"/>
  <c r="B338" i="35" s="1"/>
  <c r="B339" i="35" s="1"/>
  <c r="B340" i="35" s="1"/>
  <c r="B341" i="35" s="1"/>
  <c r="B342" i="35" s="1"/>
  <c r="B343" i="35" s="1"/>
  <c r="B344" i="35" s="1"/>
  <c r="B345" i="35" s="1"/>
  <c r="B346" i="35" s="1"/>
  <c r="B347" i="35" s="1"/>
  <c r="B348" i="35" s="1"/>
  <c r="B349" i="35" s="1"/>
  <c r="B350" i="35" s="1"/>
  <c r="B351" i="35" s="1"/>
  <c r="B352" i="35" s="1"/>
  <c r="B353" i="35" s="1"/>
  <c r="B354" i="35" s="1"/>
  <c r="B355" i="35" s="1"/>
  <c r="B356" i="35" s="1"/>
  <c r="B357" i="35" s="1"/>
  <c r="B358" i="35" s="1"/>
  <c r="B359" i="35" s="1"/>
  <c r="B360" i="35" s="1"/>
  <c r="B361" i="35" s="1"/>
  <c r="B362" i="35" s="1"/>
  <c r="B363" i="35" s="1"/>
  <c r="B364" i="35" s="1"/>
  <c r="B365" i="35" s="1"/>
  <c r="B366" i="35" s="1"/>
  <c r="B367" i="35" s="1"/>
  <c r="B368" i="35" s="1"/>
  <c r="B369" i="35" s="1"/>
  <c r="B370" i="35" s="1"/>
  <c r="B371" i="35" s="1"/>
  <c r="B372" i="35" s="1"/>
  <c r="B373" i="35" s="1"/>
  <c r="B374" i="35" s="1"/>
  <c r="B375" i="35" s="1"/>
  <c r="B376" i="35" s="1"/>
  <c r="B377" i="35" s="1"/>
  <c r="B378" i="35" s="1"/>
  <c r="B379" i="35" s="1"/>
  <c r="B380" i="35" s="1"/>
  <c r="B381" i="35" s="1"/>
  <c r="B382" i="35" s="1"/>
  <c r="B383" i="35" s="1"/>
  <c r="B384" i="35" s="1"/>
  <c r="B385" i="35" s="1"/>
  <c r="B386" i="35" s="1"/>
  <c r="B387" i="35" s="1"/>
  <c r="B388" i="35" s="1"/>
  <c r="B389" i="35" s="1"/>
  <c r="B390" i="35" s="1"/>
  <c r="B391" i="35" s="1"/>
  <c r="B392" i="35" s="1"/>
  <c r="B393" i="35" s="1"/>
  <c r="B394" i="35" s="1"/>
  <c r="B395" i="35" s="1"/>
  <c r="B396" i="35" s="1"/>
  <c r="B397" i="35" s="1"/>
  <c r="B398" i="35" s="1"/>
  <c r="B399" i="35" s="1"/>
  <c r="B400" i="35" s="1"/>
  <c r="B401" i="35" s="1"/>
  <c r="B402" i="35" s="1"/>
  <c r="B403" i="35" s="1"/>
  <c r="B404" i="35" s="1"/>
  <c r="B405" i="35" s="1"/>
  <c r="B406" i="35" s="1"/>
  <c r="B407" i="35" s="1"/>
  <c r="B408" i="35" s="1"/>
  <c r="B409" i="35" s="1"/>
  <c r="B410" i="35" s="1"/>
  <c r="B411" i="35" s="1"/>
  <c r="B412" i="35" s="1"/>
  <c r="B413" i="35" s="1"/>
  <c r="B414" i="35" s="1"/>
  <c r="B415" i="35" s="1"/>
  <c r="B417" i="35" s="1"/>
  <c r="B418" i="35" s="1"/>
  <c r="B419" i="35" s="1"/>
  <c r="B420" i="35" s="1"/>
  <c r="B421" i="35" s="1"/>
  <c r="B422" i="35" s="1"/>
  <c r="B423" i="35" s="1"/>
  <c r="B424" i="35" s="1"/>
  <c r="B425" i="35" s="1"/>
  <c r="B426" i="35" s="1"/>
  <c r="B427" i="35" s="1"/>
  <c r="B428" i="35" s="1"/>
  <c r="B429" i="35" s="1"/>
  <c r="B430" i="35" s="1"/>
  <c r="B431" i="35" s="1"/>
  <c r="B432" i="35" s="1"/>
  <c r="B433" i="35" s="1"/>
  <c r="B434" i="35" s="1"/>
  <c r="B435" i="35" s="1"/>
  <c r="B436" i="35" s="1"/>
  <c r="B437" i="35" s="1"/>
  <c r="B438" i="35" s="1"/>
  <c r="B439" i="35" s="1"/>
  <c r="B440" i="35" s="1"/>
  <c r="B444" i="35" s="1"/>
  <c r="B445" i="35" s="1"/>
  <c r="B446" i="35" s="1"/>
  <c r="B447" i="35" s="1"/>
  <c r="B448" i="35" s="1"/>
  <c r="B449" i="35" s="1"/>
  <c r="B450" i="35" s="1"/>
  <c r="B451" i="35" s="1"/>
  <c r="B452" i="35" s="1"/>
  <c r="B453" i="35" s="1"/>
  <c r="B454" i="35" s="1"/>
  <c r="B455" i="35" s="1"/>
  <c r="B456" i="35" s="1"/>
  <c r="B457" i="35" s="1"/>
  <c r="B458" i="35" s="1"/>
  <c r="B459" i="35" s="1"/>
  <c r="B460" i="35" s="1"/>
  <c r="B461" i="35" s="1"/>
  <c r="B462" i="35" s="1"/>
  <c r="B463" i="35" s="1"/>
  <c r="B464" i="35" s="1"/>
  <c r="B465" i="35" s="1"/>
  <c r="B466" i="35" s="1"/>
  <c r="B467" i="35" s="1"/>
  <c r="B468" i="35" s="1"/>
  <c r="B469" i="35" s="1"/>
  <c r="B470" i="35" s="1"/>
  <c r="B471" i="35" s="1"/>
  <c r="B472" i="35" s="1"/>
  <c r="B473" i="35" s="1"/>
  <c r="B474" i="35" s="1"/>
  <c r="B475" i="35" s="1"/>
  <c r="B476" i="35" s="1"/>
  <c r="B477" i="35" s="1"/>
  <c r="B478" i="35" s="1"/>
  <c r="B479" i="35" s="1"/>
  <c r="B480" i="35" s="1"/>
  <c r="B481" i="35" s="1"/>
  <c r="B482" i="35" s="1"/>
  <c r="B483" i="35" s="1"/>
  <c r="B485" i="35" s="1"/>
  <c r="B486" i="35" s="1"/>
  <c r="B487" i="35" s="1"/>
  <c r="B488" i="35" s="1"/>
  <c r="B489" i="35" s="1"/>
  <c r="B490" i="35" s="1"/>
  <c r="B491" i="35" s="1"/>
  <c r="B492" i="35" s="1"/>
  <c r="B493" i="35" s="1"/>
  <c r="B494" i="35" s="1"/>
  <c r="B495" i="35" s="1"/>
  <c r="B496" i="35" s="1"/>
  <c r="B497" i="35" s="1"/>
  <c r="B498" i="35" s="1"/>
  <c r="B499" i="35" s="1"/>
  <c r="B500" i="35" s="1"/>
  <c r="B501" i="35" s="1"/>
  <c r="B502" i="35" s="1"/>
  <c r="B503" i="35" s="1"/>
  <c r="B504" i="35" s="1"/>
  <c r="B505" i="35" s="1"/>
  <c r="B506" i="35" s="1"/>
  <c r="B507" i="35" s="1"/>
  <c r="B508" i="35" s="1"/>
  <c r="B511" i="35" s="1"/>
  <c r="B512" i="35" s="1"/>
  <c r="B513" i="35" s="1"/>
  <c r="B514" i="35" s="1"/>
  <c r="B515" i="35" s="1"/>
  <c r="B516" i="35" s="1"/>
  <c r="B517" i="35" s="1"/>
  <c r="B518" i="35" s="1"/>
  <c r="B519" i="35" s="1"/>
  <c r="B520" i="35" s="1"/>
  <c r="B521" i="35" s="1"/>
  <c r="B522" i="35" s="1"/>
  <c r="B523" i="35" s="1"/>
  <c r="B524" i="35" s="1"/>
  <c r="B525" i="35" s="1"/>
  <c r="B526" i="35" s="1"/>
  <c r="B527" i="35" s="1"/>
  <c r="B528" i="35" s="1"/>
  <c r="B529" i="35" s="1"/>
  <c r="B530" i="35" s="1"/>
  <c r="B531" i="35" s="1"/>
  <c r="B532" i="35" s="1"/>
  <c r="B533" i="35" s="1"/>
  <c r="B534" i="35" s="1"/>
  <c r="B535" i="35" s="1"/>
  <c r="B536" i="35" s="1"/>
  <c r="B537" i="35" s="1"/>
  <c r="B538" i="35" s="1"/>
  <c r="B539" i="35" s="1"/>
  <c r="B540" i="35" s="1"/>
  <c r="B541" i="35" s="1"/>
  <c r="B542" i="35" s="1"/>
  <c r="B543" i="35" s="1"/>
  <c r="B544" i="35" s="1"/>
  <c r="B545" i="35" s="1"/>
  <c r="B546" i="35" s="1"/>
  <c r="B547" i="35" s="1"/>
  <c r="B548" i="35" s="1"/>
  <c r="B550" i="35" s="1"/>
  <c r="B551" i="35" s="1"/>
  <c r="B552" i="35" s="1"/>
  <c r="B553" i="35" s="1"/>
  <c r="B554" i="35" s="1"/>
  <c r="B555" i="35" s="1"/>
  <c r="B556" i="35" s="1"/>
  <c r="B557" i="35" s="1"/>
  <c r="B558" i="35" s="1"/>
  <c r="B559" i="35" s="1"/>
  <c r="B560" i="35" s="1"/>
  <c r="B561" i="35" s="1"/>
  <c r="B562" i="35" s="1"/>
  <c r="B563" i="35" s="1"/>
  <c r="B564" i="35" s="1"/>
  <c r="B565" i="35" s="1"/>
  <c r="B566" i="35" s="1"/>
  <c r="B567" i="35" s="1"/>
  <c r="B568" i="35" s="1"/>
  <c r="B569" i="35" s="1"/>
  <c r="B570" i="35" s="1"/>
  <c r="B571" i="35" s="1"/>
  <c r="B572" i="35" s="1"/>
  <c r="B573" i="35" s="1"/>
  <c r="B576" i="35" s="1"/>
  <c r="B577" i="35" s="1"/>
  <c r="B578" i="35" s="1"/>
  <c r="B579" i="35" s="1"/>
  <c r="B580" i="35" s="1"/>
  <c r="B581" i="35" s="1"/>
  <c r="B582" i="35" s="1"/>
  <c r="B583" i="35" s="1"/>
  <c r="B584" i="35" s="1"/>
  <c r="B585" i="35" s="1"/>
  <c r="B586" i="35" s="1"/>
  <c r="B587" i="35" s="1"/>
  <c r="B588" i="35" s="1"/>
  <c r="B589" i="35" s="1"/>
  <c r="B590" i="35" s="1"/>
  <c r="B591" i="35" s="1"/>
  <c r="B592" i="35" s="1"/>
  <c r="B593" i="35" s="1"/>
  <c r="B594" i="35" s="1"/>
  <c r="B595" i="35" s="1"/>
  <c r="B596" i="35" s="1"/>
  <c r="B597" i="35" s="1"/>
  <c r="B598" i="35" s="1"/>
  <c r="B599" i="35" s="1"/>
  <c r="B600" i="35" s="1"/>
  <c r="B601" i="35" s="1"/>
  <c r="B602" i="35" s="1"/>
  <c r="B603" i="35" s="1"/>
  <c r="B604" i="35" s="1"/>
  <c r="B605" i="35" s="1"/>
  <c r="B606" i="35" s="1"/>
  <c r="B607" i="35" s="1"/>
  <c r="B608" i="35" s="1"/>
  <c r="B609" i="35" s="1"/>
  <c r="B610" i="35" s="1"/>
  <c r="B611" i="35" s="1"/>
  <c r="B612" i="35" s="1"/>
  <c r="B613" i="35" s="1"/>
  <c r="B614" i="35" s="1"/>
  <c r="B615" i="35" s="1"/>
  <c r="B616" i="35" s="1"/>
  <c r="B617" i="35" s="1"/>
  <c r="B618" i="35" s="1"/>
  <c r="B619" i="35" s="1"/>
  <c r="B620" i="35" s="1"/>
  <c r="B621" i="35" s="1"/>
  <c r="B622" i="35" s="1"/>
  <c r="B623" i="35" s="1"/>
  <c r="B624" i="35" s="1"/>
  <c r="B625" i="35" s="1"/>
  <c r="B626" i="35" s="1"/>
  <c r="B627" i="35" s="1"/>
  <c r="B628" i="35" s="1"/>
  <c r="B629" i="35" s="1"/>
  <c r="B630" i="35" s="1"/>
  <c r="B631" i="35" s="1"/>
  <c r="B632" i="35" s="1"/>
  <c r="B633" i="35" s="1"/>
  <c r="B634" i="35" s="1"/>
  <c r="B635" i="35" s="1"/>
  <c r="B636" i="35" s="1"/>
  <c r="B638" i="35" s="1"/>
  <c r="B639" i="35" s="1"/>
  <c r="B640" i="35" s="1"/>
  <c r="B641" i="35" s="1"/>
  <c r="B642" i="35" s="1"/>
  <c r="B643" i="35" s="1"/>
  <c r="B644" i="35" s="1"/>
  <c r="B645" i="35" s="1"/>
  <c r="B646" i="35" s="1"/>
  <c r="B647" i="35" s="1"/>
  <c r="B648" i="35" s="1"/>
  <c r="B649" i="35" s="1"/>
  <c r="B650" i="35" s="1"/>
  <c r="B651" i="35" s="1"/>
  <c r="B652" i="35" s="1"/>
  <c r="B653" i="35" s="1"/>
  <c r="B654" i="35" s="1"/>
  <c r="B655" i="35" s="1"/>
  <c r="B656" i="35" s="1"/>
  <c r="B657" i="35" s="1"/>
  <c r="B658" i="35" s="1"/>
  <c r="B659" i="35" s="1"/>
  <c r="B660" i="35" s="1"/>
  <c r="B661" i="35" s="1"/>
  <c r="B662" i="35" s="1"/>
  <c r="B663" i="35" s="1"/>
  <c r="B664" i="35" s="1"/>
  <c r="B665" i="35" s="1"/>
  <c r="B666" i="35" s="1"/>
  <c r="B667" i="35" s="1"/>
  <c r="B668" i="35" s="1"/>
  <c r="B669" i="35" s="1"/>
  <c r="B670" i="35" s="1"/>
  <c r="B671" i="35" s="1"/>
  <c r="B672" i="35" s="1"/>
  <c r="B673" i="35" s="1"/>
  <c r="B674" i="35" s="1"/>
  <c r="B675" i="35" s="1"/>
  <c r="B676" i="35" s="1"/>
  <c r="B677" i="35" s="1"/>
  <c r="B678" i="35" s="1"/>
  <c r="B679" i="35" s="1"/>
  <c r="B680" i="35" s="1"/>
  <c r="B681" i="35" s="1"/>
  <c r="B682" i="35" s="1"/>
  <c r="B683" i="35" s="1"/>
  <c r="B684" i="35" s="1"/>
  <c r="B685" i="35" s="1"/>
  <c r="B686" i="35" s="1"/>
  <c r="B687" i="35" s="1"/>
  <c r="B688" i="35" s="1"/>
  <c r="B689" i="35" s="1"/>
  <c r="B690" i="35" s="1"/>
  <c r="B691" i="35" s="1"/>
  <c r="B692" i="35" s="1"/>
  <c r="B693" i="35" s="1"/>
  <c r="B694" i="35" s="1"/>
  <c r="B695" i="35" s="1"/>
  <c r="B696" i="35" s="1"/>
  <c r="B697" i="35" s="1"/>
  <c r="B698" i="35" s="1"/>
  <c r="B700" i="35" s="1"/>
  <c r="B701" i="35" s="1"/>
  <c r="B702" i="35" s="1"/>
  <c r="B703" i="35" s="1"/>
  <c r="B704" i="35" s="1"/>
  <c r="B705" i="35" s="1"/>
  <c r="B706" i="35" s="1"/>
  <c r="B707" i="35" s="1"/>
  <c r="B708" i="35" s="1"/>
  <c r="B709" i="35" s="1"/>
  <c r="B710" i="35" s="1"/>
  <c r="B711" i="35" s="1"/>
  <c r="B712" i="35" s="1"/>
  <c r="B713" i="35" s="1"/>
  <c r="B714" i="35" s="1"/>
  <c r="B715" i="35" s="1"/>
  <c r="B716" i="35" s="1"/>
  <c r="B717" i="35" s="1"/>
  <c r="B718" i="35" s="1"/>
  <c r="B719" i="35" s="1"/>
  <c r="B720" i="35" s="1"/>
  <c r="B721" i="35" s="1"/>
  <c r="B722" i="35" s="1"/>
  <c r="B723" i="35" s="1"/>
  <c r="B724" i="35" s="1"/>
  <c r="B725" i="35" s="1"/>
  <c r="B726" i="35" s="1"/>
  <c r="B727" i="35" s="1"/>
  <c r="B728" i="35" s="1"/>
  <c r="B729" i="35" s="1"/>
  <c r="B730" i="35" s="1"/>
  <c r="B731" i="35" s="1"/>
  <c r="B732" i="35" s="1"/>
  <c r="B733" i="35" s="1"/>
  <c r="B734" i="35" s="1"/>
  <c r="B735" i="35" s="1"/>
  <c r="B736" i="35" s="1"/>
  <c r="B737" i="35" s="1"/>
  <c r="B738" i="35" s="1"/>
  <c r="B739" i="35" s="1"/>
  <c r="B740" i="35" s="1"/>
  <c r="B741" i="35" s="1"/>
  <c r="B742" i="35" s="1"/>
  <c r="B743" i="35" s="1"/>
  <c r="B744" i="35" s="1"/>
  <c r="B745" i="35" s="1"/>
  <c r="B746" i="35" s="1"/>
  <c r="B747" i="35" s="1"/>
  <c r="B748" i="35" s="1"/>
  <c r="B749" i="35" s="1"/>
  <c r="B750" i="35" s="1"/>
  <c r="B751" i="35" s="1"/>
  <c r="B752" i="35" s="1"/>
  <c r="B753" i="35" s="1"/>
  <c r="B754" i="35" s="1"/>
  <c r="B755" i="35" s="1"/>
  <c r="B756" i="35" s="1"/>
  <c r="B757" i="35" s="1"/>
  <c r="B758" i="35" s="1"/>
  <c r="B760" i="35" s="1"/>
  <c r="B761" i="35" s="1"/>
  <c r="B762" i="35" s="1"/>
  <c r="B763" i="35" s="1"/>
  <c r="B764" i="35" s="1"/>
  <c r="B765" i="35" s="1"/>
  <c r="B766" i="35" s="1"/>
  <c r="B767" i="35" s="1"/>
  <c r="B768" i="35" s="1"/>
  <c r="B769" i="35" s="1"/>
  <c r="B770" i="35" s="1"/>
  <c r="B771" i="35" s="1"/>
  <c r="B772" i="35" s="1"/>
  <c r="B773" i="35" s="1"/>
  <c r="B774" i="35" s="1"/>
  <c r="B775" i="35" s="1"/>
  <c r="B776" i="35" s="1"/>
  <c r="B777" i="35" s="1"/>
  <c r="B778" i="35" s="1"/>
  <c r="B779" i="35" s="1"/>
  <c r="B780" i="35" s="1"/>
  <c r="B781" i="35" s="1"/>
  <c r="B782" i="35" s="1"/>
  <c r="B783" i="35" s="1"/>
  <c r="B786" i="35" s="1"/>
  <c r="B787" i="35" s="1"/>
  <c r="B788" i="35" s="1"/>
  <c r="B789" i="35" s="1"/>
  <c r="B790" i="35" s="1"/>
  <c r="B791" i="35" s="1"/>
  <c r="B792" i="35" s="1"/>
  <c r="B793" i="35" s="1"/>
  <c r="B794" i="35" s="1"/>
  <c r="B795" i="35" s="1"/>
  <c r="B796" i="35" s="1"/>
  <c r="B797" i="35" s="1"/>
  <c r="B798" i="35" s="1"/>
  <c r="B799" i="35" s="1"/>
  <c r="B800" i="35" s="1"/>
  <c r="B801" i="35" s="1"/>
  <c r="B802" i="35" s="1"/>
  <c r="B803" i="35" s="1"/>
  <c r="B804" i="35" s="1"/>
  <c r="B805" i="35" s="1"/>
  <c r="B806" i="35" s="1"/>
  <c r="B807" i="35" s="1"/>
  <c r="B808" i="35" s="1"/>
  <c r="B809" i="35" s="1"/>
  <c r="B810" i="35" s="1"/>
  <c r="B811" i="35" s="1"/>
  <c r="B812" i="35" s="1"/>
  <c r="B813" i="35" s="1"/>
  <c r="B814" i="35" s="1"/>
  <c r="B815" i="35" s="1"/>
  <c r="B816" i="35" s="1"/>
  <c r="B817" i="35" s="1"/>
  <c r="B818" i="35" s="1"/>
  <c r="B819" i="35" s="1"/>
  <c r="B820" i="35" s="1"/>
  <c r="B821" i="35" s="1"/>
  <c r="B822" i="35" s="1"/>
  <c r="B823" i="35" s="1"/>
  <c r="B824" i="35" s="1"/>
  <c r="B826" i="35" s="1"/>
  <c r="B827" i="35" s="1"/>
  <c r="B828" i="35" s="1"/>
  <c r="B829" i="35" s="1"/>
  <c r="B830" i="35" s="1"/>
  <c r="B831" i="35" s="1"/>
  <c r="B832" i="35" s="1"/>
  <c r="B833" i="35" s="1"/>
  <c r="B834" i="35" s="1"/>
  <c r="B835" i="35" s="1"/>
  <c r="B836" i="35" s="1"/>
  <c r="B837" i="35" s="1"/>
  <c r="B838" i="35" s="1"/>
  <c r="B839" i="35" s="1"/>
  <c r="B840" i="35" s="1"/>
  <c r="B841" i="35" s="1"/>
  <c r="B842" i="35" s="1"/>
  <c r="B843" i="35" s="1"/>
  <c r="B844" i="35" s="1"/>
  <c r="B845" i="35" s="1"/>
  <c r="B846" i="35" s="1"/>
  <c r="B847" i="35" s="1"/>
  <c r="B848" i="35" s="1"/>
  <c r="B849" i="35" s="1"/>
  <c r="B850" i="35" s="1"/>
  <c r="B851" i="35" s="1"/>
  <c r="B852" i="35" s="1"/>
  <c r="B853" i="35" s="1"/>
  <c r="B854" i="35" s="1"/>
  <c r="B855" i="35" s="1"/>
  <c r="B856" i="35" s="1"/>
  <c r="B857" i="35" s="1"/>
  <c r="B858" i="35" s="1"/>
  <c r="B859" i="35" s="1"/>
  <c r="B860" i="35" s="1"/>
  <c r="B861" i="35" s="1"/>
  <c r="B862" i="35" s="1"/>
  <c r="B863" i="35" s="1"/>
  <c r="B864" i="35" s="1"/>
  <c r="B865" i="35" s="1"/>
  <c r="B866" i="35" s="1"/>
  <c r="B867" i="35" s="1"/>
  <c r="B868" i="35" s="1"/>
  <c r="B869" i="35" s="1"/>
  <c r="B870" i="35" s="1"/>
  <c r="B871" i="35" s="1"/>
  <c r="B872" i="35" s="1"/>
  <c r="B873" i="35" s="1"/>
  <c r="B874" i="35" s="1"/>
  <c r="B875" i="35" s="1"/>
  <c r="B876" i="35" s="1"/>
  <c r="B877" i="35" s="1"/>
  <c r="B878" i="35" s="1"/>
  <c r="B879" i="35" s="1"/>
  <c r="B880" i="35" s="1"/>
  <c r="B881" i="35" s="1"/>
  <c r="B882" i="35" s="1"/>
  <c r="B883" i="35" s="1"/>
  <c r="B885" i="35" s="1"/>
  <c r="B886" i="35" s="1"/>
  <c r="B887" i="35" s="1"/>
  <c r="B888" i="35" s="1"/>
  <c r="B889" i="35" s="1"/>
  <c r="B890" i="35" s="1"/>
  <c r="B891" i="35" s="1"/>
  <c r="B892" i="35" s="1"/>
  <c r="B893" i="35" s="1"/>
  <c r="B894" i="35" s="1"/>
  <c r="B895" i="35" s="1"/>
  <c r="B896" i="35" s="1"/>
  <c r="B897" i="35" s="1"/>
  <c r="B898" i="35" s="1"/>
  <c r="B899" i="35" s="1"/>
  <c r="B900" i="35" s="1"/>
  <c r="B901" i="35" s="1"/>
  <c r="B902" i="35" s="1"/>
  <c r="B903" i="35" s="1"/>
  <c r="B904" i="35" s="1"/>
  <c r="B905" i="35" s="1"/>
  <c r="B906" i="35" s="1"/>
  <c r="B907" i="35" s="1"/>
  <c r="B908" i="35" s="1"/>
  <c r="B909" i="35" s="1"/>
  <c r="B910" i="35" s="1"/>
  <c r="B911" i="35" s="1"/>
  <c r="B912" i="35" s="1"/>
  <c r="B913" i="35" s="1"/>
  <c r="B914" i="35" s="1"/>
  <c r="B915" i="35" s="1"/>
  <c r="B916" i="35" s="1"/>
  <c r="B917" i="35" s="1"/>
  <c r="B918" i="35" s="1"/>
  <c r="B919" i="35" s="1"/>
  <c r="B920" i="35" s="1"/>
  <c r="B921" i="35" s="1"/>
  <c r="B922" i="35" s="1"/>
  <c r="B923" i="35" s="1"/>
  <c r="B924" i="35" s="1"/>
  <c r="B925" i="35" s="1"/>
  <c r="B926" i="35" s="1"/>
  <c r="B927" i="35" s="1"/>
  <c r="B928" i="35" s="1"/>
  <c r="B929" i="35" s="1"/>
  <c r="B930" i="35" s="1"/>
  <c r="B931" i="35" s="1"/>
  <c r="B932" i="35" s="1"/>
  <c r="B933" i="35" s="1"/>
  <c r="B934" i="35" s="1"/>
  <c r="B935" i="35" s="1"/>
  <c r="B936" i="35" s="1"/>
  <c r="B937" i="35" s="1"/>
  <c r="B938" i="35" s="1"/>
  <c r="B939" i="35" s="1"/>
  <c r="B940" i="35" s="1"/>
  <c r="B941" i="35" s="1"/>
  <c r="B942" i="35" s="1"/>
  <c r="B943" i="35" s="1"/>
  <c r="B944" i="35" s="1"/>
  <c r="B945" i="35" s="1"/>
  <c r="B946" i="35" s="1"/>
  <c r="B947" i="35" s="1"/>
  <c r="B948" i="35" s="1"/>
  <c r="B949" i="35" s="1"/>
  <c r="B950" i="35" s="1"/>
  <c r="B951" i="35" s="1"/>
  <c r="B952" i="35" s="1"/>
  <c r="B953" i="35" s="1"/>
  <c r="B954" i="35" s="1"/>
  <c r="B955" i="35" s="1"/>
  <c r="B956" i="35" s="1"/>
  <c r="B957" i="35" s="1"/>
  <c r="B958" i="35" s="1"/>
  <c r="B959" i="35" s="1"/>
  <c r="B960" i="35" s="1"/>
  <c r="B961" i="35" s="1"/>
  <c r="B962" i="35" s="1"/>
  <c r="B963" i="35" s="1"/>
  <c r="B964" i="35" s="1"/>
  <c r="B965" i="35" s="1"/>
  <c r="B966" i="35" s="1"/>
  <c r="B967" i="35" s="1"/>
  <c r="B968" i="35" s="1"/>
  <c r="B969" i="35" s="1"/>
  <c r="B970" i="35" s="1"/>
  <c r="B971" i="35" s="1"/>
  <c r="B972" i="35" s="1"/>
  <c r="B973" i="35" s="1"/>
  <c r="B974" i="35" s="1"/>
  <c r="B975" i="35" s="1"/>
  <c r="B976" i="35" s="1"/>
  <c r="B977" i="35" s="1"/>
  <c r="B978" i="35" s="1"/>
  <c r="B979" i="35" s="1"/>
  <c r="B980" i="35" s="1"/>
  <c r="B981" i="35" s="1"/>
  <c r="B982" i="35" s="1"/>
  <c r="B983" i="35" s="1"/>
  <c r="B984" i="35" s="1"/>
  <c r="B985" i="35" s="1"/>
  <c r="B986" i="35" s="1"/>
  <c r="B987" i="35" s="1"/>
  <c r="B988" i="35" s="1"/>
  <c r="B989" i="35" s="1"/>
  <c r="B990" i="35" s="1"/>
  <c r="B991" i="35" s="1"/>
  <c r="B992" i="35" s="1"/>
  <c r="B993" i="35" s="1"/>
  <c r="B994" i="35" s="1"/>
  <c r="B995" i="35" s="1"/>
  <c r="B996" i="35" s="1"/>
  <c r="B997" i="35" s="1"/>
  <c r="B998" i="35" s="1"/>
  <c r="B999" i="35" s="1"/>
  <c r="B1000" i="35" s="1"/>
  <c r="B1001" i="35" s="1"/>
  <c r="B1002" i="35" s="1"/>
  <c r="B1003" i="35" s="1"/>
  <c r="B1004" i="35" s="1"/>
  <c r="B1005" i="35" s="1"/>
  <c r="B1006" i="35" s="1"/>
  <c r="B1007" i="35" s="1"/>
  <c r="B1008" i="35" s="1"/>
  <c r="B1009" i="35" s="1"/>
  <c r="B1010" i="35" s="1"/>
  <c r="B1011" i="35" s="1"/>
  <c r="B1012" i="35" s="1"/>
  <c r="B1013" i="35" s="1"/>
  <c r="B1014" i="35" s="1"/>
  <c r="B1015" i="35" s="1"/>
  <c r="B1016" i="35" s="1"/>
  <c r="B1017" i="35" s="1"/>
  <c r="B1018" i="35" s="1"/>
  <c r="B1019" i="35" s="1"/>
  <c r="B1020" i="35" s="1"/>
  <c r="B1021" i="35" s="1"/>
  <c r="B1022" i="35" s="1"/>
  <c r="B1023" i="35" s="1"/>
  <c r="B1024" i="35" s="1"/>
  <c r="B1025" i="35" s="1"/>
  <c r="B1026" i="35" s="1"/>
  <c r="B1027" i="35" s="1"/>
  <c r="B1028" i="35" s="1"/>
  <c r="B1029" i="35" s="1"/>
  <c r="B1030" i="35" s="1"/>
  <c r="B1031" i="35" s="1"/>
  <c r="B1032" i="35" s="1"/>
  <c r="B1033" i="35" s="1"/>
  <c r="B1034" i="35" s="1"/>
  <c r="B1035" i="35" s="1"/>
  <c r="B1036" i="35" s="1"/>
  <c r="B1037" i="35" s="1"/>
  <c r="B1038" i="35" s="1"/>
  <c r="B1039" i="35" s="1"/>
  <c r="B1040" i="35" s="1"/>
  <c r="B1041" i="35" s="1"/>
  <c r="B1042" i="35" s="1"/>
  <c r="B1043" i="35" s="1"/>
  <c r="B1044" i="35" s="1"/>
  <c r="B1045" i="35" s="1"/>
  <c r="B1046" i="35" s="1"/>
  <c r="B1047" i="35" s="1"/>
  <c r="B1048" i="35" s="1"/>
  <c r="B1049" i="35" s="1"/>
  <c r="B1050" i="35" s="1"/>
  <c r="B1051" i="35" s="1"/>
  <c r="B1052" i="35" s="1"/>
  <c r="B1053" i="35" s="1"/>
  <c r="B1054" i="35" s="1"/>
  <c r="B1055" i="35" s="1"/>
  <c r="B1056" i="35" s="1"/>
  <c r="B1057" i="35" s="1"/>
  <c r="B1058" i="35" s="1"/>
  <c r="B1059" i="35" s="1"/>
  <c r="B1060" i="35" s="1"/>
  <c r="B1061" i="35" s="1"/>
  <c r="B1062" i="35" s="1"/>
  <c r="B1063" i="35" s="1"/>
  <c r="B1064" i="35" s="1"/>
  <c r="B1065" i="35" s="1"/>
  <c r="B1066" i="35" s="1"/>
  <c r="B1067" i="35" s="1"/>
  <c r="B1068" i="35" s="1"/>
  <c r="B1069" i="35" s="1"/>
  <c r="B1070" i="35" s="1"/>
  <c r="B1071" i="35" s="1"/>
  <c r="B1072" i="35" s="1"/>
  <c r="B1073" i="35" s="1"/>
  <c r="B1074" i="35" s="1"/>
  <c r="B1075" i="35" s="1"/>
  <c r="B1076" i="35" s="1"/>
  <c r="B1077" i="35" s="1"/>
  <c r="B1078" i="35" s="1"/>
  <c r="B1079" i="35" s="1"/>
  <c r="B1080" i="35" s="1"/>
  <c r="B1081" i="35" s="1"/>
  <c r="B1082" i="35" s="1"/>
  <c r="B1083" i="35" s="1"/>
  <c r="B1084" i="35" s="1"/>
  <c r="B1085" i="35" s="1"/>
  <c r="B1086" i="35" s="1"/>
  <c r="B1087" i="35" s="1"/>
  <c r="B1088" i="35" s="1"/>
  <c r="B1089" i="35" s="1"/>
  <c r="B1090" i="35" s="1"/>
  <c r="B1091" i="35" s="1"/>
  <c r="B1092" i="35" s="1"/>
  <c r="B1093" i="35" s="1"/>
  <c r="B1094" i="35" s="1"/>
  <c r="B1095" i="35" s="1"/>
  <c r="B1096" i="35" s="1"/>
  <c r="B1097" i="35" s="1"/>
  <c r="B1098" i="35" s="1"/>
  <c r="B1099" i="35" s="1"/>
  <c r="B1100" i="35" s="1"/>
  <c r="B1101" i="35" s="1"/>
  <c r="B1102" i="35" s="1"/>
  <c r="B1103" i="35" s="1"/>
  <c r="B1104" i="35" s="1"/>
  <c r="B1105" i="35" s="1"/>
  <c r="B1106" i="35" s="1"/>
  <c r="B1107" i="35" s="1"/>
  <c r="B1108" i="35" s="1"/>
  <c r="B1109" i="35" s="1"/>
  <c r="B1110" i="35" s="1"/>
  <c r="B1111" i="35" s="1"/>
  <c r="B1112" i="35" s="1"/>
  <c r="B1113" i="35" s="1"/>
  <c r="B1114" i="35" s="1"/>
  <c r="B1115" i="35" s="1"/>
  <c r="B1116" i="35" s="1"/>
  <c r="B1117" i="35" s="1"/>
  <c r="B1118" i="35" s="1"/>
  <c r="B1119" i="35" s="1"/>
  <c r="B1120" i="35" s="1"/>
  <c r="B1125" i="35" s="1"/>
  <c r="B1126" i="35" s="1"/>
  <c r="B1127" i="35" s="1"/>
  <c r="B1128" i="35" s="1"/>
  <c r="B1129" i="35" s="1"/>
  <c r="B1131" i="35" s="1"/>
  <c r="B1132" i="35" s="1"/>
  <c r="B1133" i="35" s="1"/>
  <c r="B1134" i="35" s="1"/>
  <c r="B1135" i="35" s="1"/>
  <c r="B1136" i="35" s="1"/>
  <c r="B1137" i="35" s="1"/>
  <c r="B1138" i="35" s="1"/>
  <c r="B1140" i="35" s="1"/>
  <c r="B1141" i="35" s="1"/>
  <c r="B1142" i="35" s="1"/>
  <c r="B1143" i="35" s="1"/>
  <c r="B1144" i="35" s="1"/>
  <c r="B1145" i="35" s="1"/>
  <c r="B1146" i="35" s="1"/>
  <c r="B1147" i="35" s="1"/>
  <c r="B1148" i="35" s="1"/>
  <c r="B1149" i="35" s="1"/>
  <c r="B1150" i="35" s="1"/>
  <c r="B1151" i="35" s="1"/>
  <c r="B1152" i="35" s="1"/>
  <c r="B1153" i="35" s="1"/>
  <c r="B1154" i="35" s="1"/>
  <c r="B1155" i="35" s="1"/>
  <c r="B1156" i="35" s="1"/>
  <c r="B1157" i="35" s="1"/>
  <c r="B1158" i="35" s="1"/>
  <c r="B1159" i="35" s="1"/>
  <c r="B1160" i="35" s="1"/>
  <c r="B1161" i="35" s="1"/>
  <c r="B1162" i="35" s="1"/>
  <c r="B1163" i="35" s="1"/>
  <c r="B1164" i="35" s="1"/>
  <c r="B1165" i="35" s="1"/>
  <c r="B1166" i="35" s="1"/>
  <c r="B1167" i="35" s="1"/>
  <c r="B1168" i="35" s="1"/>
  <c r="B1169" i="35" s="1"/>
  <c r="B1170" i="35" s="1"/>
  <c r="B1171" i="35" s="1"/>
  <c r="B1172" i="35" s="1"/>
  <c r="B1173" i="35" s="1"/>
  <c r="B1174" i="35" s="1"/>
  <c r="B1175" i="35" s="1"/>
  <c r="B1176" i="35" s="1"/>
  <c r="B1177" i="35" s="1"/>
  <c r="B1178" i="35" s="1"/>
  <c r="B1179" i="35" s="1"/>
  <c r="B1180" i="35" s="1"/>
  <c r="B1181" i="35" s="1"/>
  <c r="B1182" i="35" s="1"/>
  <c r="B1183" i="35" s="1"/>
  <c r="B1184" i="35" s="1"/>
  <c r="B1185" i="35" s="1"/>
  <c r="B1186" i="35" s="1"/>
  <c r="B1187" i="35" s="1"/>
  <c r="B1188" i="35" s="1"/>
  <c r="B1189" i="35" s="1"/>
  <c r="B1190" i="35" s="1"/>
  <c r="B1191" i="35" s="1"/>
  <c r="B1192" i="35" s="1"/>
  <c r="B1193" i="35" s="1"/>
  <c r="B1194" i="35" s="1"/>
  <c r="B1195" i="35" s="1"/>
  <c r="B1196" i="35" s="1"/>
  <c r="B1197" i="35" s="1"/>
  <c r="B1198" i="35" s="1"/>
  <c r="B1199" i="35" s="1"/>
  <c r="B1200" i="35" s="1"/>
  <c r="B1201" i="35" s="1"/>
  <c r="B1202" i="35" s="1"/>
  <c r="B1203" i="35" s="1"/>
  <c r="B1204" i="35" s="1"/>
  <c r="B1205" i="35" s="1"/>
  <c r="B1206" i="35" s="1"/>
  <c r="B1207" i="35" s="1"/>
  <c r="B1208" i="35" s="1"/>
  <c r="B1209" i="35" s="1"/>
  <c r="B1210" i="35" s="1"/>
  <c r="B1211" i="35" s="1"/>
  <c r="B1212" i="35" s="1"/>
  <c r="B1213" i="35" s="1"/>
  <c r="B1214" i="35" s="1"/>
  <c r="B1215" i="35" s="1"/>
  <c r="B1216" i="35" s="1"/>
  <c r="B1217" i="35" s="1"/>
  <c r="B1218" i="35" s="1"/>
  <c r="B1219" i="35" s="1"/>
  <c r="B1220" i="35" s="1"/>
  <c r="B1221" i="35" s="1"/>
  <c r="B1222" i="35" s="1"/>
  <c r="B1223" i="35" s="1"/>
  <c r="B1224" i="35" s="1"/>
  <c r="B1225" i="35" s="1"/>
  <c r="B1226" i="35" s="1"/>
  <c r="B1227" i="35" s="1"/>
  <c r="B1228" i="35" s="1"/>
  <c r="B1229" i="35" s="1"/>
  <c r="B1230" i="35" s="1"/>
  <c r="B1231" i="35" s="1"/>
  <c r="B1232" i="35" s="1"/>
  <c r="B1233" i="35" s="1"/>
  <c r="B1234" i="35" s="1"/>
  <c r="B1235" i="35" s="1"/>
  <c r="B1236" i="35" s="1"/>
  <c r="B1237" i="35" s="1"/>
  <c r="B1238" i="35" s="1"/>
  <c r="B1239" i="35" s="1"/>
  <c r="B1240" i="35" s="1"/>
  <c r="B1241" i="35" s="1"/>
  <c r="B1242" i="35" s="1"/>
  <c r="B1243" i="35" s="1"/>
  <c r="B1245" i="35" s="1"/>
  <c r="B1246" i="35" s="1"/>
  <c r="B1247" i="35" s="1"/>
  <c r="B1248" i="35" s="1"/>
  <c r="B1249" i="35" s="1"/>
  <c r="B1250" i="35" s="1"/>
  <c r="B1251" i="35" s="1"/>
  <c r="B1252" i="35" s="1"/>
  <c r="B1253" i="35" s="1"/>
  <c r="B1254" i="35" s="1"/>
  <c r="B1255" i="35" s="1"/>
  <c r="B1256" i="35" s="1"/>
  <c r="B1257" i="35" s="1"/>
  <c r="B1258" i="35" s="1"/>
  <c r="B1259" i="35" s="1"/>
  <c r="B1260" i="35" s="1"/>
  <c r="B1261" i="35" s="1"/>
  <c r="B1262" i="35" s="1"/>
  <c r="B1263" i="35" s="1"/>
  <c r="B1264" i="35" s="1"/>
  <c r="B1265" i="35" s="1"/>
  <c r="B1266" i="35" s="1"/>
  <c r="B1267" i="35" s="1"/>
  <c r="B1268" i="35" s="1"/>
  <c r="B1273" i="35" s="1"/>
  <c r="B1274" i="35" s="1"/>
  <c r="B1275" i="35" s="1"/>
  <c r="B1276" i="35" s="1"/>
  <c r="B1277" i="35" s="1"/>
  <c r="B1278" i="35" s="1"/>
  <c r="B1279" i="35" s="1"/>
  <c r="B1280" i="35" s="1"/>
  <c r="B1281" i="35" s="1"/>
  <c r="B1282" i="35" s="1"/>
  <c r="B1283" i="35" s="1"/>
  <c r="B1284" i="35" s="1"/>
  <c r="B1285" i="35" s="1"/>
  <c r="B1286" i="35" s="1"/>
  <c r="B1287" i="35" s="1"/>
  <c r="B1288" i="35" s="1"/>
  <c r="B1289" i="35" s="1"/>
  <c r="B1290" i="35" s="1"/>
  <c r="B1291" i="35" s="1"/>
  <c r="B1292" i="35" s="1"/>
  <c r="B1293" i="35" s="1"/>
  <c r="B1294" i="35" s="1"/>
  <c r="B1295" i="35" s="1"/>
  <c r="B1296" i="35" s="1"/>
  <c r="B1297" i="35" s="1"/>
  <c r="B1298" i="35" s="1"/>
  <c r="B1299" i="35" s="1"/>
  <c r="B1300" i="35" s="1"/>
  <c r="B1301" i="35" s="1"/>
  <c r="B1302" i="35" s="1"/>
  <c r="B1303" i="35" s="1"/>
  <c r="B1304" i="35" s="1"/>
  <c r="B1305" i="35" s="1"/>
  <c r="B1306" i="35" s="1"/>
  <c r="B1307" i="35" s="1"/>
  <c r="B1308" i="35" s="1"/>
  <c r="B1309" i="35" s="1"/>
  <c r="B1310" i="35" s="1"/>
  <c r="B1311" i="35" s="1"/>
  <c r="B1312" i="35" s="1"/>
  <c r="B1313" i="35" s="1"/>
  <c r="B1314" i="35" s="1"/>
  <c r="B1315" i="35" s="1"/>
  <c r="B1316" i="35" s="1"/>
  <c r="B1317" i="35" s="1"/>
  <c r="B1318" i="35" s="1"/>
  <c r="B1319" i="35" s="1"/>
  <c r="B1320" i="35" s="1"/>
  <c r="B1321" i="35" s="1"/>
  <c r="B1322" i="35" s="1"/>
  <c r="B1323" i="35" s="1"/>
  <c r="B1324" i="35" s="1"/>
  <c r="B1325" i="35" s="1"/>
  <c r="B1326" i="35" s="1"/>
  <c r="B1327" i="35" s="1"/>
  <c r="B1328" i="35" s="1"/>
  <c r="B1329" i="35" s="1"/>
  <c r="B1330" i="35" s="1"/>
  <c r="B1331" i="35" s="1"/>
  <c r="B1332" i="35" s="1"/>
  <c r="B1333" i="35" s="1"/>
  <c r="B1334" i="35" s="1"/>
  <c r="B1335" i="35" s="1"/>
  <c r="B1336" i="35" s="1"/>
  <c r="B1337" i="35" s="1"/>
  <c r="B1338" i="35" s="1"/>
  <c r="B1339" i="35" s="1"/>
  <c r="B1340" i="35" s="1"/>
  <c r="B1341" i="35" s="1"/>
  <c r="B1342" i="35" s="1"/>
  <c r="B1343" i="35" s="1"/>
  <c r="B1344" i="35" s="1"/>
  <c r="B1345" i="35" s="1"/>
  <c r="B1346" i="35" s="1"/>
  <c r="B1347" i="35" s="1"/>
  <c r="B1348" i="35" s="1"/>
  <c r="B1349" i="35" s="1"/>
  <c r="B1350" i="35" s="1"/>
  <c r="B1351" i="35" s="1"/>
  <c r="B1353" i="35" s="1"/>
  <c r="B1354" i="35" s="1"/>
  <c r="B1355" i="35" s="1"/>
  <c r="B1356" i="35" s="1"/>
  <c r="B1357" i="35" s="1"/>
  <c r="B1358" i="35" s="1"/>
  <c r="B1359" i="35" s="1"/>
  <c r="B1360" i="35" s="1"/>
  <c r="B1361" i="35" s="1"/>
  <c r="B1362" i="35" s="1"/>
  <c r="B1363" i="35" s="1"/>
  <c r="B1364" i="35" s="1"/>
  <c r="B1365" i="35" s="1"/>
  <c r="B1366" i="35" s="1"/>
  <c r="B1367" i="35" s="1"/>
  <c r="B1368" i="35" s="1"/>
  <c r="B1369" i="35" s="1"/>
  <c r="B1370" i="35" s="1"/>
  <c r="B1371" i="35" s="1"/>
  <c r="B1372" i="35" s="1"/>
  <c r="B1373" i="35" s="1"/>
  <c r="B1374" i="35" s="1"/>
  <c r="B1375" i="35" s="1"/>
  <c r="B1376" i="35" s="1"/>
  <c r="B1377" i="35" s="1"/>
  <c r="B1378" i="35" s="1"/>
  <c r="B1379" i="35" s="1"/>
  <c r="B1380" i="35" s="1"/>
  <c r="B1381" i="35" s="1"/>
  <c r="B1382" i="35" s="1"/>
  <c r="B1383" i="35" s="1"/>
  <c r="B1384" i="35" s="1"/>
  <c r="B1385" i="35" s="1"/>
  <c r="B1386" i="35" s="1"/>
  <c r="B1387" i="35" s="1"/>
  <c r="B1388" i="35" s="1"/>
  <c r="B1389" i="35" s="1"/>
  <c r="B1390" i="35" s="1"/>
  <c r="B1391" i="35" s="1"/>
  <c r="B1392" i="35" s="1"/>
  <c r="B1393" i="35" s="1"/>
  <c r="B1394" i="35" s="1"/>
  <c r="B1395" i="35" s="1"/>
  <c r="B1396" i="35" s="1"/>
  <c r="B1397" i="35" s="1"/>
  <c r="B1398" i="35" s="1"/>
  <c r="B1399" i="35" s="1"/>
  <c r="B1400" i="35" s="1"/>
  <c r="B1401" i="35" s="1"/>
  <c r="B1402" i="35" s="1"/>
  <c r="B1403" i="35" s="1"/>
  <c r="B1404" i="35" s="1"/>
  <c r="B1405" i="35" s="1"/>
  <c r="B1406" i="35" s="1"/>
  <c r="B1407" i="35" s="1"/>
  <c r="B1408" i="35" s="1"/>
  <c r="B1409" i="35" s="1"/>
  <c r="B1410" i="35" s="1"/>
  <c r="B1411" i="35" s="1"/>
  <c r="B1412" i="35" s="1"/>
  <c r="B1413" i="35" s="1"/>
  <c r="B1414" i="35" s="1"/>
  <c r="B1415" i="35" s="1"/>
  <c r="B1416" i="35" s="1"/>
  <c r="B1418" i="35" s="1"/>
  <c r="B1419" i="35" s="1"/>
  <c r="B1420" i="35" s="1"/>
  <c r="B1421" i="35" s="1"/>
  <c r="B1422" i="35" s="1"/>
  <c r="B1423" i="35" s="1"/>
  <c r="B1424" i="35" s="1"/>
  <c r="B1425" i="35" s="1"/>
  <c r="B1426" i="35" s="1"/>
  <c r="B1427" i="35" s="1"/>
  <c r="B1428" i="35" s="1"/>
  <c r="B1429" i="35" s="1"/>
  <c r="B1430" i="35" s="1"/>
  <c r="B1431" i="35" s="1"/>
  <c r="B1432" i="35" s="1"/>
  <c r="B1433" i="35" s="1"/>
  <c r="B1434" i="35" s="1"/>
  <c r="B1435" i="35" s="1"/>
  <c r="B1436" i="35" s="1"/>
  <c r="B1437" i="35" s="1"/>
  <c r="B1438" i="35" s="1"/>
  <c r="B1439" i="35" s="1"/>
  <c r="B1440" i="35" s="1"/>
  <c r="B1441" i="35" s="1"/>
  <c r="B1442" i="35" s="1"/>
  <c r="B1443" i="35" s="1"/>
  <c r="B1444" i="35" s="1"/>
  <c r="B1445" i="35" s="1"/>
  <c r="B1446" i="35" s="1"/>
  <c r="B1447" i="35" s="1"/>
  <c r="B1448" i="35" s="1"/>
  <c r="B1449" i="35" s="1"/>
  <c r="B1450" i="35" s="1"/>
  <c r="B1451" i="35" s="1"/>
  <c r="B1452" i="35" s="1"/>
  <c r="B1453" i="35" s="1"/>
  <c r="B1454" i="35" s="1"/>
  <c r="B1455" i="35" s="1"/>
  <c r="B1456" i="35" s="1"/>
  <c r="B1457" i="35" s="1"/>
  <c r="B1458" i="35" s="1"/>
  <c r="B1459" i="35" s="1"/>
  <c r="B1460" i="35" s="1"/>
  <c r="B1461" i="35" s="1"/>
  <c r="B1462" i="35" s="1"/>
  <c r="B1463" i="35" s="1"/>
  <c r="B1464" i="35" s="1"/>
  <c r="B1465" i="35" s="1"/>
  <c r="B1466" i="35" s="1"/>
  <c r="B1467" i="35" s="1"/>
  <c r="B1468" i="35" s="1"/>
  <c r="B1469" i="35" s="1"/>
  <c r="B1470" i="35" s="1"/>
  <c r="B1471" i="35" s="1"/>
  <c r="B1472" i="35" s="1"/>
  <c r="B1473" i="35" s="1"/>
  <c r="B1474" i="35" s="1"/>
  <c r="B1475" i="35" s="1"/>
  <c r="B1476" i="35" s="1"/>
  <c r="B1477" i="35" s="1"/>
  <c r="B1478" i="35" s="1"/>
  <c r="B1479" i="35" s="1"/>
  <c r="B1480" i="35" s="1"/>
  <c r="B1482" i="35" s="1"/>
  <c r="B1483" i="35" s="1"/>
  <c r="B1484" i="35" s="1"/>
  <c r="B1485" i="35" s="1"/>
  <c r="B1486" i="35" s="1"/>
  <c r="B1487" i="35" s="1"/>
  <c r="B1488" i="35" s="1"/>
  <c r="B1489" i="35" s="1"/>
  <c r="B1490" i="35" s="1"/>
  <c r="B1491" i="35" s="1"/>
  <c r="B1492" i="35" s="1"/>
  <c r="B1493" i="35" s="1"/>
  <c r="B1494" i="35" s="1"/>
  <c r="B1495" i="35" s="1"/>
  <c r="B1496" i="35" s="1"/>
  <c r="B1497" i="35" s="1"/>
  <c r="B1498" i="35" s="1"/>
  <c r="B1499" i="35" s="1"/>
  <c r="B1500" i="35" s="1"/>
  <c r="B1501" i="35" s="1"/>
  <c r="B1502" i="35" s="1"/>
  <c r="B1503" i="35" s="1"/>
  <c r="B1504" i="35" s="1"/>
  <c r="B1505" i="35" s="1"/>
  <c r="B1506" i="35" s="1"/>
  <c r="B1507" i="35" s="1"/>
  <c r="B1508" i="35" s="1"/>
  <c r="B1509" i="35" s="1"/>
  <c r="B1510" i="35" s="1"/>
  <c r="B1511" i="35" s="1"/>
  <c r="B1512" i="35" s="1"/>
  <c r="B1513" i="35" s="1"/>
  <c r="B1514" i="35" s="1"/>
  <c r="B1515" i="35" s="1"/>
  <c r="B1516" i="35" s="1"/>
  <c r="B1517" i="35" s="1"/>
  <c r="B1518" i="35" s="1"/>
  <c r="B1519" i="35" s="1"/>
  <c r="B1520" i="35" s="1"/>
  <c r="B1521" i="35" s="1"/>
  <c r="B1522" i="35" s="1"/>
  <c r="B1523" i="35" s="1"/>
  <c r="B1524" i="35" s="1"/>
  <c r="B1525" i="35" s="1"/>
  <c r="B1526" i="35" s="1"/>
  <c r="B1527" i="35" s="1"/>
  <c r="B1528" i="35" s="1"/>
  <c r="B1529" i="35" s="1"/>
  <c r="B1530" i="35" s="1"/>
  <c r="B1531" i="35" s="1"/>
  <c r="B1532" i="35" s="1"/>
  <c r="B1533" i="35" s="1"/>
  <c r="B1534" i="35" s="1"/>
  <c r="B1535" i="35" s="1"/>
  <c r="B1536" i="35" s="1"/>
  <c r="B1537" i="35" s="1"/>
  <c r="B1538" i="35" s="1"/>
  <c r="B1539" i="35" s="1"/>
  <c r="B1540" i="35" s="1"/>
  <c r="B1541" i="35" s="1"/>
  <c r="B1543" i="35" s="1"/>
  <c r="B1544" i="35" s="1"/>
  <c r="B1545" i="35" s="1"/>
  <c r="B1546" i="35" s="1"/>
  <c r="B1547" i="35" s="1"/>
  <c r="B1548" i="35" s="1"/>
  <c r="B1549" i="35" s="1"/>
  <c r="B1550" i="35" s="1"/>
  <c r="B1551" i="35" s="1"/>
  <c r="B1552" i="35" s="1"/>
  <c r="B1553" i="35" s="1"/>
  <c r="B1554" i="35" s="1"/>
  <c r="B1555" i="35" s="1"/>
  <c r="B1556" i="35" s="1"/>
  <c r="B1557" i="35" s="1"/>
  <c r="B1558" i="35" s="1"/>
  <c r="B1559" i="35" s="1"/>
  <c r="B1560" i="35" s="1"/>
  <c r="B1561" i="35" s="1"/>
  <c r="B1562" i="35" s="1"/>
  <c r="B1563" i="35" s="1"/>
  <c r="B1564" i="35" s="1"/>
  <c r="B1566" i="35" s="1"/>
  <c r="B1567" i="35" s="1"/>
  <c r="B1568" i="35" s="1"/>
  <c r="B1569" i="35" s="1"/>
  <c r="B1570" i="35" s="1"/>
  <c r="B1571" i="35" s="1"/>
  <c r="B1572" i="35" s="1"/>
  <c r="B1573" i="35" s="1"/>
  <c r="B1574" i="35" s="1"/>
  <c r="B1575" i="35" s="1"/>
  <c r="B1576" i="35" s="1"/>
  <c r="B1577" i="35" s="1"/>
  <c r="B1578" i="35" s="1"/>
  <c r="B1579" i="35" s="1"/>
  <c r="B1580" i="35" s="1"/>
  <c r="B1581" i="35" s="1"/>
  <c r="B1582" i="35" s="1"/>
  <c r="B1583" i="35" s="1"/>
  <c r="B1584" i="35" s="1"/>
  <c r="B1585" i="35" s="1"/>
  <c r="B1586" i="35" s="1"/>
  <c r="B1587" i="35" s="1"/>
  <c r="B1588" i="35" s="1"/>
  <c r="B1589" i="35" s="1"/>
  <c r="B1594" i="35" s="1"/>
  <c r="B1595" i="35" s="1"/>
  <c r="B1596" i="35" s="1"/>
  <c r="B1597" i="35" s="1"/>
  <c r="B1598" i="35" s="1"/>
  <c r="B1599" i="35" s="1"/>
  <c r="B1600" i="35" s="1"/>
  <c r="B1601" i="35" s="1"/>
  <c r="B1602" i="35" s="1"/>
  <c r="B1603" i="35" s="1"/>
  <c r="B1604" i="35" s="1"/>
  <c r="B1605" i="35" s="1"/>
  <c r="B1606" i="35" s="1"/>
  <c r="B1607" i="35" s="1"/>
  <c r="B1608" i="35" s="1"/>
  <c r="B1609" i="35" s="1"/>
  <c r="B1610" i="35" s="1"/>
  <c r="B1611" i="35" s="1"/>
  <c r="B1612" i="35" s="1"/>
  <c r="B1613" i="35" s="1"/>
  <c r="B1614" i="35" s="1"/>
  <c r="B1615" i="35" s="1"/>
  <c r="B1616" i="35" s="1"/>
  <c r="B1617" i="35" s="1"/>
  <c r="B1618" i="35" s="1"/>
  <c r="B1619" i="35" s="1"/>
  <c r="B1620" i="35" s="1"/>
  <c r="B1621" i="35" s="1"/>
  <c r="B1622" i="35" s="1"/>
  <c r="B1623" i="35" s="1"/>
  <c r="B1624" i="35" s="1"/>
  <c r="B1625" i="35" s="1"/>
  <c r="B1626" i="35" s="1"/>
  <c r="B1627" i="35" s="1"/>
  <c r="B1628" i="35" s="1"/>
  <c r="B1629" i="35" s="1"/>
  <c r="B1630" i="35" s="1"/>
  <c r="B1631" i="35" s="1"/>
  <c r="B1632" i="35" s="1"/>
  <c r="B1633" i="35" s="1"/>
  <c r="B1634" i="35" s="1"/>
  <c r="B1635" i="35" s="1"/>
  <c r="B1636" i="35" s="1"/>
  <c r="B1637" i="35" s="1"/>
  <c r="B1638" i="35" s="1"/>
  <c r="B1639" i="35" s="1"/>
  <c r="B1640" i="35" s="1"/>
  <c r="E1466" i="35" l="1"/>
  <c r="E255" i="45"/>
  <c r="E189" i="45" l="1"/>
  <c r="E119" i="45"/>
  <c r="F490" i="33" l="1"/>
  <c r="F657" i="33"/>
  <c r="F633" i="33"/>
  <c r="F526" i="33"/>
  <c r="E1613" i="35"/>
  <c r="F524" i="33" l="1"/>
  <c r="F656" i="33"/>
  <c r="E389" i="35"/>
  <c r="E380" i="45"/>
  <c r="E161" i="45" l="1"/>
  <c r="E172" i="45" s="1"/>
  <c r="E54" i="45" l="1"/>
  <c r="E53" i="45" s="1"/>
  <c r="E407" i="35" l="1"/>
  <c r="E690" i="35" l="1"/>
  <c r="E628" i="35" l="1"/>
  <c r="F331" i="33" l="1"/>
  <c r="F159" i="33"/>
  <c r="E1564" i="35"/>
  <c r="C83" i="34" l="1"/>
  <c r="C39" i="34"/>
  <c r="C79" i="34"/>
  <c r="C26" i="34"/>
  <c r="C35" i="8"/>
  <c r="C75" i="8"/>
  <c r="C71" i="8"/>
  <c r="C22" i="8"/>
  <c r="F756" i="33"/>
  <c r="F204" i="33"/>
  <c r="F163" i="33"/>
  <c r="F720" i="33" l="1"/>
  <c r="F743" i="33"/>
  <c r="F787" i="33"/>
  <c r="F675" i="33"/>
  <c r="F688" i="33"/>
  <c r="F605" i="33"/>
  <c r="F636" i="33"/>
  <c r="F616" i="33"/>
  <c r="F593" i="33"/>
  <c r="F458" i="33"/>
  <c r="F464" i="33"/>
  <c r="F293" i="33"/>
  <c r="F280" i="33"/>
  <c r="F215" i="33"/>
  <c r="F191" i="33"/>
  <c r="F241" i="33"/>
  <c r="F509" i="33" l="1"/>
  <c r="F239" i="33"/>
  <c r="F507" i="33"/>
  <c r="F114" i="33" l="1"/>
  <c r="F40" i="33"/>
  <c r="F79" i="33"/>
  <c r="F27" i="33"/>
  <c r="E1567" i="35" l="1"/>
  <c r="E1516" i="35"/>
  <c r="E1485" i="35"/>
  <c r="E1472" i="35"/>
  <c r="E1452" i="35"/>
  <c r="E1421" i="35"/>
  <c r="E1408" i="35"/>
  <c r="E1387" i="35"/>
  <c r="E1356" i="35"/>
  <c r="E1343" i="35"/>
  <c r="E1315" i="35"/>
  <c r="E1248" i="35"/>
  <c r="E1235" i="35"/>
  <c r="E1182" i="35"/>
  <c r="E1168" i="35"/>
  <c r="E1162" i="35"/>
  <c r="E1109" i="35"/>
  <c r="E1095" i="35"/>
  <c r="E1089" i="35"/>
  <c r="E1057" i="35"/>
  <c r="E1043" i="35"/>
  <c r="E1037" i="35"/>
  <c r="E1003" i="35"/>
  <c r="E983" i="35"/>
  <c r="E989" i="35"/>
  <c r="E922" i="35"/>
  <c r="E899" i="35"/>
  <c r="E888" i="35"/>
  <c r="E875" i="35"/>
  <c r="E829" i="35"/>
  <c r="E860" i="35"/>
  <c r="E816" i="35"/>
  <c r="E799" i="35"/>
  <c r="E763" i="35"/>
  <c r="E750" i="35"/>
  <c r="E734" i="35"/>
  <c r="E703" i="35"/>
  <c r="E1133" i="35" l="1"/>
  <c r="E1618" i="35"/>
  <c r="E674" i="35"/>
  <c r="E641" i="35"/>
  <c r="E602" i="35"/>
  <c r="E553" i="35"/>
  <c r="E540" i="35"/>
  <c r="E521" i="35"/>
  <c r="E488" i="35"/>
  <c r="E475" i="35"/>
  <c r="E98" i="35" l="1"/>
  <c r="E457" i="35"/>
  <c r="E420" i="35"/>
  <c r="E259" i="35"/>
  <c r="E245" i="35"/>
  <c r="E239" i="35"/>
  <c r="E42" i="35"/>
  <c r="E172" i="35"/>
  <c r="E178" i="35"/>
  <c r="E55" i="35"/>
  <c r="E43" i="45" l="1"/>
  <c r="E41" i="45" s="1"/>
  <c r="E155" i="45"/>
  <c r="E1589" i="35" l="1"/>
  <c r="H28" i="45" l="1"/>
  <c r="G28" i="45" s="1"/>
  <c r="E1602" i="35" l="1"/>
  <c r="E26" i="35"/>
  <c r="H24" i="35"/>
  <c r="H23" i="35"/>
  <c r="E20" i="35"/>
  <c r="E19" i="35"/>
  <c r="H14" i="35"/>
  <c r="H13" i="35"/>
  <c r="G23" i="35" l="1"/>
  <c r="G24" i="35"/>
  <c r="G13" i="35"/>
  <c r="G14" i="35"/>
  <c r="H25" i="35"/>
  <c r="H12" i="35"/>
  <c r="G25" i="35" l="1"/>
  <c r="H26" i="35"/>
  <c r="F25" i="35"/>
  <c r="G12" i="35"/>
  <c r="H15" i="35"/>
  <c r="G26" i="35" l="1"/>
  <c r="F15" i="35"/>
  <c r="G15" i="35"/>
  <c r="F26" i="35"/>
  <c r="H330" i="35" l="1"/>
  <c r="H106" i="45"/>
  <c r="G106" i="45" s="1"/>
  <c r="G330" i="35" l="1"/>
  <c r="E1534" i="35"/>
  <c r="H141" i="45"/>
  <c r="G141" i="45" s="1"/>
  <c r="E1542" i="35" l="1"/>
  <c r="E1599" i="35"/>
  <c r="E375" i="35" l="1"/>
  <c r="E373" i="35" l="1"/>
  <c r="E1573" i="35" l="1"/>
  <c r="E1572" i="35" l="1"/>
  <c r="E1543" i="35"/>
  <c r="E1533" i="35"/>
  <c r="E62" i="35" l="1"/>
  <c r="E102" i="35" l="1"/>
  <c r="E1635" i="35" l="1"/>
  <c r="E1630" i="35"/>
  <c r="E605" i="45" l="1"/>
  <c r="E132" i="35" l="1"/>
  <c r="H147" i="45" l="1"/>
  <c r="G147" i="45" s="1"/>
  <c r="H179" i="45"/>
  <c r="H178" i="45"/>
  <c r="H177" i="45"/>
  <c r="H180" i="45" l="1"/>
  <c r="E529" i="45" l="1"/>
  <c r="E1553" i="35" l="1"/>
  <c r="E1615" i="35" l="1"/>
  <c r="E147" i="35"/>
  <c r="E353" i="45" l="1"/>
  <c r="E1604" i="35" l="1"/>
  <c r="F544" i="33" l="1"/>
  <c r="E1561" i="35" l="1"/>
  <c r="F796" i="33" l="1"/>
  <c r="E1546" i="35"/>
  <c r="E1531" i="35"/>
  <c r="E750" i="45" l="1"/>
  <c r="E237" i="35" l="1"/>
  <c r="E231" i="35"/>
  <c r="E735" i="45"/>
  <c r="E732" i="45"/>
  <c r="E707" i="45"/>
  <c r="H1545" i="35" l="1"/>
  <c r="H142" i="45" l="1"/>
  <c r="G142" i="45" s="1"/>
  <c r="F88" i="33" l="1"/>
  <c r="H287" i="45" l="1"/>
  <c r="H289" i="45"/>
  <c r="D291" i="45" l="1"/>
  <c r="H340" i="45" l="1"/>
  <c r="G340" i="45" s="1"/>
  <c r="E59" i="45" l="1"/>
  <c r="E1612" i="35" l="1"/>
  <c r="E1638" i="35" l="1"/>
  <c r="C102" i="34" l="1"/>
  <c r="C91" i="8"/>
  <c r="F806" i="33"/>
  <c r="E1639" i="35"/>
  <c r="C101" i="34" l="1"/>
  <c r="C90" i="8"/>
  <c r="F809" i="33"/>
  <c r="F335" i="33" l="1"/>
  <c r="E788" i="35"/>
  <c r="E1598" i="35"/>
  <c r="E1498" i="35"/>
  <c r="E1496" i="35" l="1"/>
  <c r="E786" i="35"/>
  <c r="E133" i="45"/>
  <c r="C67" i="34" l="1"/>
  <c r="C54" i="34"/>
  <c r="C52" i="34" s="1"/>
  <c r="C63" i="8"/>
  <c r="C50" i="8"/>
  <c r="C48" i="8" l="1"/>
  <c r="C65" i="34"/>
  <c r="C61" i="8"/>
  <c r="F769" i="33" l="1"/>
  <c r="F701" i="33"/>
  <c r="F140" i="33"/>
  <c r="F138" i="33" l="1"/>
  <c r="F699" i="33"/>
  <c r="F767" i="33"/>
  <c r="E1261" i="35" l="1"/>
  <c r="E793" i="35"/>
  <c r="E516" i="35"/>
  <c r="E718" i="45" l="1"/>
  <c r="E303" i="45"/>
  <c r="E212" i="45"/>
  <c r="E153" i="45"/>
  <c r="E569" i="45"/>
  <c r="E555" i="45"/>
  <c r="E458" i="45" l="1"/>
  <c r="E1557" i="35" l="1"/>
  <c r="F779" i="33" l="1"/>
  <c r="F711" i="33"/>
  <c r="F709" i="33" l="1"/>
  <c r="F777" i="33"/>
  <c r="F150" i="33"/>
  <c r="F66" i="33"/>
  <c r="F64" i="33" l="1"/>
  <c r="F148" i="33"/>
  <c r="E1597" i="35"/>
  <c r="E1444" i="35" l="1"/>
  <c r="E1434" i="35"/>
  <c r="E1379" i="35"/>
  <c r="E1275" i="35"/>
  <c r="E1273" i="35"/>
  <c r="E852" i="35"/>
  <c r="E842" i="35"/>
  <c r="E850" i="35"/>
  <c r="E726" i="35"/>
  <c r="E1432" i="35" l="1"/>
  <c r="E840" i="35"/>
  <c r="E724" i="35"/>
  <c r="E1377" i="35"/>
  <c r="E1442" i="35"/>
  <c r="E81" i="35"/>
  <c r="E79" i="35" l="1"/>
  <c r="F383" i="33" l="1"/>
  <c r="E352" i="35" l="1"/>
  <c r="I263" i="33" l="1"/>
  <c r="H263" i="33" s="1"/>
  <c r="E166" i="45" l="1"/>
  <c r="E1616" i="35" l="1"/>
  <c r="F539" i="33" l="1"/>
  <c r="F537" i="33" l="1"/>
  <c r="E450" i="35" l="1"/>
  <c r="C72" i="34"/>
  <c r="F71" i="33"/>
  <c r="E1359" i="8" l="1"/>
  <c r="E1383" i="34"/>
  <c r="E584" i="8"/>
  <c r="E608" i="34"/>
  <c r="E1588" i="35" l="1"/>
  <c r="E495" i="35" l="1"/>
  <c r="I251" i="33" l="1"/>
  <c r="H251" i="33" s="1"/>
  <c r="E313" i="35" l="1"/>
  <c r="E583" i="35"/>
  <c r="E217" i="45"/>
  <c r="E1280" i="35" l="1"/>
  <c r="I92" i="33" l="1"/>
  <c r="H92" i="33" s="1"/>
  <c r="E623" i="35" l="1"/>
  <c r="H620" i="35"/>
  <c r="H619" i="35"/>
  <c r="H617" i="35"/>
  <c r="H616" i="35"/>
  <c r="H615" i="35"/>
  <c r="H613" i="35"/>
  <c r="H612" i="35"/>
  <c r="H611" i="35"/>
  <c r="G613" i="35" l="1"/>
  <c r="G617" i="35"/>
  <c r="G615" i="35"/>
  <c r="G611" i="35"/>
  <c r="G619" i="35"/>
  <c r="G616" i="35"/>
  <c r="G612" i="35"/>
  <c r="G620" i="35"/>
  <c r="F735" i="45" l="1"/>
  <c r="H117" i="35" l="1"/>
  <c r="G117" i="35" l="1"/>
  <c r="H467" i="35" l="1"/>
  <c r="H468" i="35"/>
  <c r="G468" i="35" l="1"/>
  <c r="G467" i="35"/>
  <c r="H742" i="35" l="1"/>
  <c r="G742" i="35" l="1"/>
  <c r="I110" i="33"/>
  <c r="H335" i="45" l="1"/>
  <c r="G335" i="45" s="1"/>
  <c r="E350" i="45" l="1"/>
  <c r="E422" i="45" l="1"/>
  <c r="I667" i="33" l="1"/>
  <c r="H667" i="33" s="1"/>
  <c r="E263" i="45" l="1"/>
  <c r="E1584" i="35" l="1"/>
  <c r="E1583" i="35"/>
  <c r="F421" i="33" l="1"/>
  <c r="E738" i="35" l="1"/>
  <c r="E299" i="35"/>
  <c r="E444" i="45"/>
  <c r="E442" i="45" s="1"/>
  <c r="E297" i="35" l="1"/>
  <c r="E861" i="35"/>
  <c r="F791" i="33" l="1"/>
  <c r="F724" i="33"/>
  <c r="F640" i="33"/>
  <c r="F587" i="33"/>
  <c r="F510" i="33"/>
  <c r="F434" i="33"/>
  <c r="F433" i="33"/>
  <c r="F393" i="33"/>
  <c r="F83" i="33"/>
  <c r="E1607" i="35"/>
  <c r="E1606" i="35"/>
  <c r="E1581" i="35"/>
  <c r="E602" i="45" l="1"/>
  <c r="F803" i="33" l="1"/>
  <c r="I795" i="33"/>
  <c r="I796" i="33" s="1"/>
  <c r="F784" i="33"/>
  <c r="F763" i="33"/>
  <c r="F741" i="33"/>
  <c r="I740" i="33"/>
  <c r="I741" i="33" s="1"/>
  <c r="I733" i="33"/>
  <c r="I734" i="33" s="1"/>
  <c r="I730" i="33"/>
  <c r="H730" i="33" s="1"/>
  <c r="I729" i="33"/>
  <c r="H729" i="33" s="1"/>
  <c r="I728" i="33"/>
  <c r="F716" i="33"/>
  <c r="F695" i="33"/>
  <c r="F723" i="33"/>
  <c r="F721" i="33"/>
  <c r="I671" i="33"/>
  <c r="H671" i="33" s="1"/>
  <c r="I670" i="33"/>
  <c r="H670" i="33" s="1"/>
  <c r="I669" i="33"/>
  <c r="H669" i="33" s="1"/>
  <c r="I668" i="33"/>
  <c r="F654" i="33"/>
  <c r="F647" i="33"/>
  <c r="I645" i="33"/>
  <c r="H645" i="33" s="1"/>
  <c r="I644" i="33"/>
  <c r="H644" i="33" s="1"/>
  <c r="F612" i="33"/>
  <c r="F639" i="33"/>
  <c r="F584" i="33"/>
  <c r="I517" i="33"/>
  <c r="I518" i="33"/>
  <c r="I514" i="33"/>
  <c r="I515" i="33" s="1"/>
  <c r="G515" i="33" s="1"/>
  <c r="F497" i="33"/>
  <c r="F475" i="33"/>
  <c r="F470" i="33"/>
  <c r="I455" i="33"/>
  <c r="H455" i="33" s="1"/>
  <c r="I454" i="33"/>
  <c r="H454" i="33" s="1"/>
  <c r="I453" i="33"/>
  <c r="H453" i="33" s="1"/>
  <c r="I452" i="33"/>
  <c r="H452" i="33" s="1"/>
  <c r="I451" i="33"/>
  <c r="H451" i="33" s="1"/>
  <c r="I450" i="33"/>
  <c r="H450" i="33" s="1"/>
  <c r="G442" i="33"/>
  <c r="I441" i="33"/>
  <c r="H441" i="33" s="1"/>
  <c r="I438" i="33"/>
  <c r="H438" i="33" s="1"/>
  <c r="F412" i="33"/>
  <c r="I406" i="33"/>
  <c r="H406" i="33" s="1"/>
  <c r="I405" i="33"/>
  <c r="F400" i="33"/>
  <c r="I398" i="33"/>
  <c r="H398" i="33" s="1"/>
  <c r="I397" i="33"/>
  <c r="F377" i="33"/>
  <c r="F371" i="33"/>
  <c r="I366" i="33"/>
  <c r="H366" i="33" s="1"/>
  <c r="I365" i="33"/>
  <c r="H365" i="33" s="1"/>
  <c r="I364" i="33"/>
  <c r="I352" i="33"/>
  <c r="H352" i="33" s="1"/>
  <c r="I351" i="33"/>
  <c r="H351" i="33" s="1"/>
  <c r="I350" i="33"/>
  <c r="H350" i="33" s="1"/>
  <c r="I349" i="33"/>
  <c r="H349" i="33" s="1"/>
  <c r="I348" i="33"/>
  <c r="H348" i="33" s="1"/>
  <c r="I347" i="33"/>
  <c r="H347" i="33" s="1"/>
  <c r="I346" i="33"/>
  <c r="I343" i="33"/>
  <c r="H343" i="33" s="1"/>
  <c r="I342" i="33"/>
  <c r="H342" i="33" s="1"/>
  <c r="I341" i="33"/>
  <c r="H341" i="33" s="1"/>
  <c r="I340" i="33"/>
  <c r="H340" i="33" s="1"/>
  <c r="I339" i="33"/>
  <c r="F321" i="33"/>
  <c r="F314" i="33"/>
  <c r="F306" i="33"/>
  <c r="F300" i="33"/>
  <c r="I276" i="33"/>
  <c r="H276" i="33" s="1"/>
  <c r="I275" i="33"/>
  <c r="H275" i="33" s="1"/>
  <c r="I274" i="33"/>
  <c r="H274" i="33" s="1"/>
  <c r="I273" i="33"/>
  <c r="H273" i="33" s="1"/>
  <c r="I272" i="33"/>
  <c r="H272" i="33" s="1"/>
  <c r="I271" i="33"/>
  <c r="H271" i="33" s="1"/>
  <c r="I270" i="33"/>
  <c r="H270" i="33" s="1"/>
  <c r="I269" i="33"/>
  <c r="H269" i="33" s="1"/>
  <c r="I268" i="33"/>
  <c r="H268" i="33" s="1"/>
  <c r="I267" i="33"/>
  <c r="H267" i="33" s="1"/>
  <c r="I266" i="33"/>
  <c r="H266" i="33" s="1"/>
  <c r="I265" i="33"/>
  <c r="H265" i="33" s="1"/>
  <c r="I264" i="33"/>
  <c r="H264" i="33" s="1"/>
  <c r="I262" i="33"/>
  <c r="H262" i="33" s="1"/>
  <c r="I261" i="33"/>
  <c r="H261" i="33" s="1"/>
  <c r="I254" i="33"/>
  <c r="H254" i="33" s="1"/>
  <c r="I253" i="33"/>
  <c r="H253" i="33" s="1"/>
  <c r="I252" i="33"/>
  <c r="F256" i="33"/>
  <c r="I248" i="33"/>
  <c r="H248" i="33" s="1"/>
  <c r="I247" i="33"/>
  <c r="H247" i="33" s="1"/>
  <c r="I246" i="33"/>
  <c r="H246" i="33" s="1"/>
  <c r="F232" i="33"/>
  <c r="F211" i="33"/>
  <c r="I188" i="33"/>
  <c r="H188" i="33" s="1"/>
  <c r="I184" i="33"/>
  <c r="H184" i="33" s="1"/>
  <c r="I187" i="33"/>
  <c r="H187" i="33" s="1"/>
  <c r="I186" i="33"/>
  <c r="H186" i="33" s="1"/>
  <c r="I185" i="33"/>
  <c r="F179" i="33"/>
  <c r="I174" i="33"/>
  <c r="H174" i="33" s="1"/>
  <c r="I173" i="33"/>
  <c r="H173" i="33" s="1"/>
  <c r="I172" i="33"/>
  <c r="H172" i="33" s="1"/>
  <c r="I171" i="33"/>
  <c r="H171" i="33" s="1"/>
  <c r="I170" i="33"/>
  <c r="H170" i="33" s="1"/>
  <c r="I167" i="33"/>
  <c r="H167" i="33" s="1"/>
  <c r="F155" i="33"/>
  <c r="F134" i="33"/>
  <c r="F127" i="33"/>
  <c r="F162" i="33"/>
  <c r="H110" i="33"/>
  <c r="I109" i="33"/>
  <c r="H109" i="33" s="1"/>
  <c r="I108" i="33"/>
  <c r="I94" i="33"/>
  <c r="H94" i="33" s="1"/>
  <c r="I93" i="33"/>
  <c r="H93" i="33" s="1"/>
  <c r="I91" i="33"/>
  <c r="H91" i="33" s="1"/>
  <c r="I90" i="33"/>
  <c r="H90" i="33" s="1"/>
  <c r="I87" i="33"/>
  <c r="F53" i="33"/>
  <c r="F47" i="33"/>
  <c r="I23" i="33"/>
  <c r="H23" i="33" s="1"/>
  <c r="I22" i="33"/>
  <c r="H22" i="33" s="1"/>
  <c r="I21" i="33"/>
  <c r="H21" i="33" s="1"/>
  <c r="I20" i="33"/>
  <c r="H20" i="33" s="1"/>
  <c r="I19" i="33"/>
  <c r="H19" i="33" s="1"/>
  <c r="I18" i="33"/>
  <c r="H18" i="33" s="1"/>
  <c r="I17" i="33"/>
  <c r="H17" i="33" s="1"/>
  <c r="I16" i="33"/>
  <c r="H16" i="33" s="1"/>
  <c r="I15" i="33"/>
  <c r="H15" i="33" s="1"/>
  <c r="I14" i="33"/>
  <c r="H14" i="33" s="1"/>
  <c r="I13" i="33"/>
  <c r="H13" i="33" s="1"/>
  <c r="I12" i="33"/>
  <c r="H12" i="33" s="1"/>
  <c r="H442" i="33" l="1"/>
  <c r="F51" i="33"/>
  <c r="F588" i="33"/>
  <c r="F304" i="33"/>
  <c r="F369" i="33"/>
  <c r="F410" i="33"/>
  <c r="H439" i="33"/>
  <c r="F755" i="33"/>
  <c r="H108" i="33"/>
  <c r="I111" i="33"/>
  <c r="G111" i="33" s="1"/>
  <c r="F392" i="33"/>
  <c r="F653" i="33"/>
  <c r="F661" i="33"/>
  <c r="H517" i="33"/>
  <c r="I519" i="33"/>
  <c r="G519" i="33" s="1"/>
  <c r="H277" i="33"/>
  <c r="F586" i="33"/>
  <c r="F1306" i="33"/>
  <c r="I255" i="33"/>
  <c r="G255" i="33" s="1"/>
  <c r="F637" i="33"/>
  <c r="F790" i="33"/>
  <c r="I672" i="33"/>
  <c r="G672" i="33" s="1"/>
  <c r="H87" i="33"/>
  <c r="I88" i="33"/>
  <c r="F797" i="33"/>
  <c r="F334" i="33"/>
  <c r="F160" i="33"/>
  <c r="F82" i="33"/>
  <c r="F604" i="33"/>
  <c r="G734" i="33"/>
  <c r="F39" i="33"/>
  <c r="G741" i="33"/>
  <c r="H95" i="33"/>
  <c r="I353" i="33"/>
  <c r="G353" i="33" s="1"/>
  <c r="I367" i="33"/>
  <c r="G367" i="33" s="1"/>
  <c r="I399" i="33"/>
  <c r="I400" i="33" s="1"/>
  <c r="F469" i="33"/>
  <c r="I731" i="33"/>
  <c r="G731" i="33" s="1"/>
  <c r="I189" i="33"/>
  <c r="G189" i="33" s="1"/>
  <c r="F203" i="33"/>
  <c r="I277" i="33"/>
  <c r="G277" i="33" s="1"/>
  <c r="I344" i="33"/>
  <c r="G344" i="33" s="1"/>
  <c r="I646" i="33"/>
  <c r="I647" i="33" s="1"/>
  <c r="G647" i="33" s="1"/>
  <c r="I407" i="33"/>
  <c r="G407" i="33" s="1"/>
  <c r="F520" i="33"/>
  <c r="F96" i="33"/>
  <c r="H168" i="33"/>
  <c r="H175" i="33"/>
  <c r="F176" i="33"/>
  <c r="H185" i="33"/>
  <c r="F354" i="33"/>
  <c r="H405" i="33"/>
  <c r="F126" i="33"/>
  <c r="H249" i="33"/>
  <c r="F292" i="33"/>
  <c r="H364" i="33"/>
  <c r="H397" i="33"/>
  <c r="F443" i="33"/>
  <c r="F687" i="33"/>
  <c r="F735" i="33"/>
  <c r="H24" i="33"/>
  <c r="I24" i="33"/>
  <c r="G24" i="33" s="1"/>
  <c r="I95" i="33"/>
  <c r="G95" i="33" s="1"/>
  <c r="I168" i="33"/>
  <c r="I175" i="33"/>
  <c r="G175" i="33" s="1"/>
  <c r="I249" i="33"/>
  <c r="H252" i="33"/>
  <c r="H456" i="33"/>
  <c r="I797" i="33"/>
  <c r="G796" i="33"/>
  <c r="H339" i="33"/>
  <c r="H346" i="33"/>
  <c r="I439" i="33"/>
  <c r="I442" i="33"/>
  <c r="I456" i="33"/>
  <c r="G456" i="33" s="1"/>
  <c r="H514" i="33"/>
  <c r="H518" i="33"/>
  <c r="H646" i="33"/>
  <c r="H668" i="33"/>
  <c r="H728" i="33"/>
  <c r="H733" i="33"/>
  <c r="H740" i="33"/>
  <c r="H795" i="33"/>
  <c r="H255" i="33" l="1"/>
  <c r="H647" i="33"/>
  <c r="H353" i="33"/>
  <c r="H443" i="33"/>
  <c r="H344" i="33"/>
  <c r="H88" i="33"/>
  <c r="H672" i="33"/>
  <c r="H407" i="33"/>
  <c r="H796" i="33"/>
  <c r="H741" i="33"/>
  <c r="H399" i="33"/>
  <c r="F240" i="33"/>
  <c r="H515" i="33"/>
  <c r="H734" i="33"/>
  <c r="H731" i="33"/>
  <c r="H367" i="33"/>
  <c r="H189" i="33"/>
  <c r="H111" i="33"/>
  <c r="F332" i="33"/>
  <c r="F80" i="33"/>
  <c r="F333" i="33"/>
  <c r="F390" i="33"/>
  <c r="F431" i="33"/>
  <c r="F722" i="33"/>
  <c r="F161" i="33"/>
  <c r="F508" i="33"/>
  <c r="F81" i="33"/>
  <c r="F638" i="33"/>
  <c r="F660" i="33"/>
  <c r="G88" i="33"/>
  <c r="I96" i="33"/>
  <c r="G96" i="33" s="1"/>
  <c r="H519" i="33"/>
  <c r="G797" i="33"/>
  <c r="F788" i="33"/>
  <c r="F789" i="33"/>
  <c r="I735" i="33"/>
  <c r="G735" i="33" s="1"/>
  <c r="G399" i="33"/>
  <c r="I520" i="33"/>
  <c r="G520" i="33" s="1"/>
  <c r="H96" i="33"/>
  <c r="G646" i="33"/>
  <c r="I354" i="33"/>
  <c r="G354" i="33" s="1"/>
  <c r="H176" i="33"/>
  <c r="H354" i="33"/>
  <c r="H735" i="33"/>
  <c r="I256" i="33"/>
  <c r="G256" i="33" s="1"/>
  <c r="G249" i="33"/>
  <c r="I176" i="33"/>
  <c r="G176" i="33" s="1"/>
  <c r="G168" i="33"/>
  <c r="I443" i="33"/>
  <c r="G443" i="33" s="1"/>
  <c r="G439" i="33"/>
  <c r="H520" i="33" l="1"/>
  <c r="F243" i="33"/>
  <c r="H797" i="33"/>
  <c r="F725" i="33"/>
  <c r="G400" i="33"/>
  <c r="F394" i="33"/>
  <c r="H400" i="33"/>
  <c r="F641" i="33"/>
  <c r="H256" i="33"/>
  <c r="F511" i="33"/>
  <c r="F662" i="33"/>
  <c r="F164" i="33"/>
  <c r="F336" i="33"/>
  <c r="F84" i="33"/>
  <c r="F792" i="33"/>
  <c r="F435" i="33"/>
  <c r="E357" i="35"/>
  <c r="E274" i="35"/>
  <c r="E209" i="35"/>
  <c r="E129" i="35"/>
  <c r="E1631" i="35" l="1"/>
  <c r="F98" i="34"/>
  <c r="E98" i="34" s="1"/>
  <c r="F97" i="34"/>
  <c r="F96" i="34"/>
  <c r="F95" i="34"/>
  <c r="E95" i="34" s="1"/>
  <c r="F91" i="34"/>
  <c r="E91" i="34" s="1"/>
  <c r="F87" i="34"/>
  <c r="E87" i="34" s="1"/>
  <c r="F89" i="34"/>
  <c r="E89" i="34" s="1"/>
  <c r="F88" i="34"/>
  <c r="E88" i="34" s="1"/>
  <c r="F92" i="34"/>
  <c r="E92" i="34" s="1"/>
  <c r="F90" i="34"/>
  <c r="E90" i="34" s="1"/>
  <c r="C82" i="34"/>
  <c r="F21" i="34"/>
  <c r="F20" i="34"/>
  <c r="F19" i="34"/>
  <c r="F18" i="34"/>
  <c r="F17" i="34"/>
  <c r="F16" i="34"/>
  <c r="F15" i="34"/>
  <c r="F14" i="34"/>
  <c r="F12" i="34"/>
  <c r="C89" i="8"/>
  <c r="F87" i="8"/>
  <c r="E87" i="8" s="1"/>
  <c r="F86" i="8"/>
  <c r="E86" i="8" s="1"/>
  <c r="F85" i="8"/>
  <c r="E85" i="8" s="1"/>
  <c r="F82" i="8"/>
  <c r="E82" i="8" s="1"/>
  <c r="F81" i="8"/>
  <c r="E81" i="8" s="1"/>
  <c r="F80" i="8"/>
  <c r="E80" i="8" s="1"/>
  <c r="F79" i="8"/>
  <c r="E79" i="8" s="1"/>
  <c r="C42" i="8"/>
  <c r="C74" i="8"/>
  <c r="F19" i="8"/>
  <c r="E19" i="8" s="1"/>
  <c r="F18" i="8"/>
  <c r="E18" i="8" s="1"/>
  <c r="F17" i="8"/>
  <c r="E17" i="8" s="1"/>
  <c r="F16" i="8"/>
  <c r="E16" i="8" s="1"/>
  <c r="F15" i="8"/>
  <c r="E15" i="8" s="1"/>
  <c r="F14" i="8"/>
  <c r="E14" i="8" s="1"/>
  <c r="F13" i="8"/>
  <c r="E13" i="8" s="1"/>
  <c r="F12" i="8"/>
  <c r="E12" i="8" s="1"/>
  <c r="E1547" i="35"/>
  <c r="H1546" i="35"/>
  <c r="F1531" i="35"/>
  <c r="H1530" i="35"/>
  <c r="E1526" i="35"/>
  <c r="H1524" i="35"/>
  <c r="E1520" i="35"/>
  <c r="E1508" i="35"/>
  <c r="E1492" i="35"/>
  <c r="E1462" i="35"/>
  <c r="H1461" i="35"/>
  <c r="H1460" i="35"/>
  <c r="E1456" i="35"/>
  <c r="E1449" i="35"/>
  <c r="E1428" i="35"/>
  <c r="E1406" i="35"/>
  <c r="H1405" i="35"/>
  <c r="H1404" i="35"/>
  <c r="H1403" i="35"/>
  <c r="H1402" i="35"/>
  <c r="E1398" i="35"/>
  <c r="H1396" i="35"/>
  <c r="H1395" i="35"/>
  <c r="E1391" i="35"/>
  <c r="E1384" i="35"/>
  <c r="E1369" i="35"/>
  <c r="E1363" i="35"/>
  <c r="E1390" i="35"/>
  <c r="E1338" i="35"/>
  <c r="H1332" i="35"/>
  <c r="H1331" i="35"/>
  <c r="H1330" i="35"/>
  <c r="H1329" i="35"/>
  <c r="H1326" i="35"/>
  <c r="H1325" i="35"/>
  <c r="H1324" i="35"/>
  <c r="E1319" i="35"/>
  <c r="E1255" i="35"/>
  <c r="H1230" i="35"/>
  <c r="H1229" i="35"/>
  <c r="H1228" i="35"/>
  <c r="H1227" i="35"/>
  <c r="H1226" i="35"/>
  <c r="H1225" i="35"/>
  <c r="H1223" i="35"/>
  <c r="H1222" i="35"/>
  <c r="H1221" i="35"/>
  <c r="H1220" i="35"/>
  <c r="H1219" i="35"/>
  <c r="H1217" i="35"/>
  <c r="E1213" i="35"/>
  <c r="H1211" i="35"/>
  <c r="H1210" i="35"/>
  <c r="H1209" i="35"/>
  <c r="H1208" i="35"/>
  <c r="H1207" i="35"/>
  <c r="E1203" i="35"/>
  <c r="E1197" i="35"/>
  <c r="E1178" i="35"/>
  <c r="E1173" i="35"/>
  <c r="E1152" i="35"/>
  <c r="E1149" i="35"/>
  <c r="E1142" i="35"/>
  <c r="H1140" i="35"/>
  <c r="H1138" i="35"/>
  <c r="E1134" i="35"/>
  <c r="E1105" i="35"/>
  <c r="E1100" i="35"/>
  <c r="F1083" i="35"/>
  <c r="E1084" i="35"/>
  <c r="H1082" i="35"/>
  <c r="E1078" i="35"/>
  <c r="E1072" i="35"/>
  <c r="E1053" i="35"/>
  <c r="E1048" i="35"/>
  <c r="E1032" i="35"/>
  <c r="H1030" i="35"/>
  <c r="H1029" i="35"/>
  <c r="H1028" i="35"/>
  <c r="E1024" i="35"/>
  <c r="E1018" i="35"/>
  <c r="E999" i="35"/>
  <c r="E994" i="35"/>
  <c r="E974" i="35"/>
  <c r="E971" i="35"/>
  <c r="E958" i="35"/>
  <c r="E955" i="35"/>
  <c r="E943" i="35"/>
  <c r="E942" i="35"/>
  <c r="E940" i="35"/>
  <c r="H930" i="35"/>
  <c r="E926" i="35"/>
  <c r="E917" i="35"/>
  <c r="E895" i="35"/>
  <c r="F869" i="35"/>
  <c r="E870" i="35"/>
  <c r="H868" i="35"/>
  <c r="E864" i="35"/>
  <c r="E857" i="35"/>
  <c r="E836" i="35"/>
  <c r="E863" i="35"/>
  <c r="E812" i="35"/>
  <c r="H808" i="35"/>
  <c r="H810" i="35"/>
  <c r="H807" i="35"/>
  <c r="H809" i="35"/>
  <c r="E803" i="35"/>
  <c r="E776" i="35"/>
  <c r="E770" i="35"/>
  <c r="E745" i="35"/>
  <c r="H743" i="35"/>
  <c r="E731" i="35"/>
  <c r="E716" i="35"/>
  <c r="E710" i="35"/>
  <c r="E737" i="35"/>
  <c r="E686" i="35"/>
  <c r="H684" i="35"/>
  <c r="H683" i="35"/>
  <c r="H682" i="35"/>
  <c r="E678" i="35"/>
  <c r="E670" i="35"/>
  <c r="E655" i="35"/>
  <c r="E648" i="35"/>
  <c r="E677" i="35"/>
  <c r="H621" i="35"/>
  <c r="H618" i="35"/>
  <c r="H614" i="35"/>
  <c r="H610" i="35"/>
  <c r="E606" i="35"/>
  <c r="E566" i="35"/>
  <c r="E560" i="35"/>
  <c r="H537" i="35"/>
  <c r="H536" i="35"/>
  <c r="E531" i="35"/>
  <c r="H529" i="35"/>
  <c r="E525" i="35"/>
  <c r="E470" i="35"/>
  <c r="H466" i="35"/>
  <c r="H465" i="35"/>
  <c r="E461" i="35"/>
  <c r="E427" i="35"/>
  <c r="E460" i="35"/>
  <c r="E402" i="35"/>
  <c r="H400" i="35"/>
  <c r="H399" i="35"/>
  <c r="E395" i="35"/>
  <c r="E384" i="35"/>
  <c r="E382" i="35"/>
  <c r="H370" i="35"/>
  <c r="H369" i="35"/>
  <c r="E364" i="35"/>
  <c r="H362" i="35"/>
  <c r="H361" i="35"/>
  <c r="E347" i="35"/>
  <c r="E345" i="35"/>
  <c r="E338" i="35"/>
  <c r="H333" i="35"/>
  <c r="H332" i="35"/>
  <c r="H331" i="35"/>
  <c r="E325" i="35"/>
  <c r="H323" i="35"/>
  <c r="H322" i="35"/>
  <c r="E318" i="35"/>
  <c r="E306" i="35"/>
  <c r="H294" i="35"/>
  <c r="H293" i="35"/>
  <c r="H292" i="35"/>
  <c r="F287" i="35"/>
  <c r="E288" i="35"/>
  <c r="H286" i="35"/>
  <c r="H285" i="35"/>
  <c r="E281" i="35"/>
  <c r="E255" i="35"/>
  <c r="E250" i="35"/>
  <c r="H236" i="35"/>
  <c r="F231" i="35"/>
  <c r="H230" i="35"/>
  <c r="F228" i="35"/>
  <c r="H227" i="35"/>
  <c r="E223" i="35"/>
  <c r="E203" i="35"/>
  <c r="E194" i="35"/>
  <c r="E188" i="35"/>
  <c r="E183" i="35"/>
  <c r="H169" i="35"/>
  <c r="H168" i="35"/>
  <c r="H167" i="35"/>
  <c r="E163" i="35"/>
  <c r="H161" i="35"/>
  <c r="H160" i="35"/>
  <c r="H142" i="35"/>
  <c r="H141" i="35"/>
  <c r="H140" i="35"/>
  <c r="H138" i="35"/>
  <c r="H139" i="35"/>
  <c r="H137" i="35"/>
  <c r="H118" i="35"/>
  <c r="H114" i="35"/>
  <c r="H113" i="35"/>
  <c r="H112" i="35"/>
  <c r="H111" i="35"/>
  <c r="H110" i="35"/>
  <c r="H109" i="35"/>
  <c r="H108" i="35"/>
  <c r="H107" i="35"/>
  <c r="E86" i="35"/>
  <c r="E68" i="35"/>
  <c r="H38" i="35"/>
  <c r="H37" i="35"/>
  <c r="H36" i="35"/>
  <c r="H35" i="35"/>
  <c r="H34" i="35"/>
  <c r="H33" i="35"/>
  <c r="H32" i="35"/>
  <c r="H31" i="35"/>
  <c r="E97" i="34" l="1"/>
  <c r="E96" i="34"/>
  <c r="F22" i="34"/>
  <c r="E18" i="34"/>
  <c r="E14" i="34"/>
  <c r="E20" i="34"/>
  <c r="E19" i="34"/>
  <c r="E15" i="34"/>
  <c r="E21" i="34"/>
  <c r="E16" i="34"/>
  <c r="E17" i="34"/>
  <c r="G38" i="35"/>
  <c r="G110" i="35"/>
  <c r="G683" i="35"/>
  <c r="G111" i="35"/>
  <c r="G161" i="35"/>
  <c r="G684" i="35"/>
  <c r="G112" i="35"/>
  <c r="E192" i="35"/>
  <c r="G286" i="35"/>
  <c r="G362" i="35"/>
  <c r="G1330" i="35"/>
  <c r="G35" i="35"/>
  <c r="G113" i="35"/>
  <c r="G140" i="35"/>
  <c r="G236" i="35"/>
  <c r="G333" i="35"/>
  <c r="G465" i="35"/>
  <c r="G614" i="35"/>
  <c r="G808" i="35"/>
  <c r="H869" i="35"/>
  <c r="G930" i="35"/>
  <c r="G1208" i="35"/>
  <c r="G1219" i="35"/>
  <c r="G1226" i="35"/>
  <c r="G1331" i="35"/>
  <c r="G1403" i="35"/>
  <c r="G33" i="35"/>
  <c r="G139" i="35"/>
  <c r="H231" i="35"/>
  <c r="G285" i="35"/>
  <c r="G361" i="35"/>
  <c r="H530" i="35"/>
  <c r="G807" i="35"/>
  <c r="G1223" i="35"/>
  <c r="G1329" i="35"/>
  <c r="G332" i="35"/>
  <c r="G610" i="35"/>
  <c r="G1402" i="35"/>
  <c r="E1603" i="35"/>
  <c r="G36" i="35"/>
  <c r="G108" i="35"/>
  <c r="G114" i="35"/>
  <c r="G141" i="35"/>
  <c r="G168" i="35"/>
  <c r="E336" i="35"/>
  <c r="G369" i="35"/>
  <c r="G371" i="35" s="1"/>
  <c r="G400" i="35"/>
  <c r="G466" i="35"/>
  <c r="G537" i="35"/>
  <c r="G618" i="35"/>
  <c r="E774" i="35"/>
  <c r="G1029" i="35"/>
  <c r="G1209" i="35"/>
  <c r="G1220" i="35"/>
  <c r="G1227" i="35"/>
  <c r="G1324" i="35"/>
  <c r="G1332" i="35"/>
  <c r="G1404" i="35"/>
  <c r="G1460" i="35"/>
  <c r="G1524" i="35"/>
  <c r="G32" i="35"/>
  <c r="E66" i="35"/>
  <c r="G294" i="35"/>
  <c r="H744" i="35"/>
  <c r="F1084" i="35"/>
  <c r="G1230" i="35"/>
  <c r="G34" i="35"/>
  <c r="G138" i="35"/>
  <c r="E653" i="35"/>
  <c r="G810" i="35"/>
  <c r="G1225" i="35"/>
  <c r="E1367" i="35"/>
  <c r="G31" i="35"/>
  <c r="G39" i="35" s="1"/>
  <c r="G37" i="35"/>
  <c r="G109" i="35"/>
  <c r="G142" i="35"/>
  <c r="G169" i="35"/>
  <c r="G227" i="35"/>
  <c r="G292" i="35"/>
  <c r="G323" i="35"/>
  <c r="G370" i="35"/>
  <c r="G621" i="35"/>
  <c r="G682" i="35"/>
  <c r="E714" i="35"/>
  <c r="F870" i="35"/>
  <c r="G1030" i="35"/>
  <c r="H1083" i="35"/>
  <c r="H1141" i="35"/>
  <c r="G1210" i="35"/>
  <c r="G1221" i="35"/>
  <c r="G1228" i="35"/>
  <c r="G1325" i="35"/>
  <c r="G1395" i="35"/>
  <c r="G1405" i="35"/>
  <c r="G1461" i="35"/>
  <c r="G293" i="35"/>
  <c r="E564" i="35"/>
  <c r="E828" i="35"/>
  <c r="G1140" i="35"/>
  <c r="G1211" i="35"/>
  <c r="G1222" i="35"/>
  <c r="G1229" i="35"/>
  <c r="G1326" i="35"/>
  <c r="G1396" i="35"/>
  <c r="E1626" i="35"/>
  <c r="G1530" i="35"/>
  <c r="G1217" i="35"/>
  <c r="H1232" i="35"/>
  <c r="E1622" i="35"/>
  <c r="E1552" i="35"/>
  <c r="H334" i="35"/>
  <c r="H1547" i="35"/>
  <c r="F1546" i="35"/>
  <c r="E394" i="35"/>
  <c r="E280" i="35"/>
  <c r="E317" i="35"/>
  <c r="E356" i="35"/>
  <c r="E947" i="35"/>
  <c r="E1021" i="35"/>
  <c r="E1023" i="35"/>
  <c r="E954" i="35"/>
  <c r="E1148" i="35"/>
  <c r="E222" i="35"/>
  <c r="E524" i="35"/>
  <c r="E957" i="35"/>
  <c r="E1151" i="35"/>
  <c r="E605" i="35"/>
  <c r="E970" i="35"/>
  <c r="E1077" i="35"/>
  <c r="E1202" i="35"/>
  <c r="E925" i="35"/>
  <c r="E939" i="35"/>
  <c r="E973" i="35"/>
  <c r="H170" i="35"/>
  <c r="H538" i="35"/>
  <c r="G137" i="35"/>
  <c r="H143" i="35"/>
  <c r="H401" i="35"/>
  <c r="E1463" i="35"/>
  <c r="E1562" i="35"/>
  <c r="C72" i="8"/>
  <c r="E1075" i="35"/>
  <c r="E1200" i="35"/>
  <c r="E1131" i="35"/>
  <c r="E1506" i="35"/>
  <c r="E522" i="35"/>
  <c r="C38" i="34"/>
  <c r="E278" i="35"/>
  <c r="C80" i="34"/>
  <c r="E887" i="35"/>
  <c r="E1316" i="35"/>
  <c r="H119" i="35"/>
  <c r="C34" i="8"/>
  <c r="E83" i="8"/>
  <c r="F20" i="8"/>
  <c r="D20" i="8" s="1"/>
  <c r="E93" i="34"/>
  <c r="E316" i="35"/>
  <c r="E249" i="35"/>
  <c r="G1397" i="35"/>
  <c r="E1484" i="35"/>
  <c r="E1453" i="35"/>
  <c r="E1582" i="35"/>
  <c r="E1047" i="35"/>
  <c r="E1172" i="35"/>
  <c r="E702" i="35"/>
  <c r="E54" i="35"/>
  <c r="E1355" i="35"/>
  <c r="H622" i="35"/>
  <c r="E20" i="8"/>
  <c r="E419" i="35"/>
  <c r="E487" i="35"/>
  <c r="E640" i="35"/>
  <c r="E762" i="35"/>
  <c r="E1420" i="35"/>
  <c r="E12" i="34"/>
  <c r="C100" i="34"/>
  <c r="H162" i="35"/>
  <c r="H324" i="35"/>
  <c r="H1031" i="35"/>
  <c r="H1462" i="35"/>
  <c r="H115" i="35"/>
  <c r="G322" i="35"/>
  <c r="E552" i="35"/>
  <c r="H811" i="35"/>
  <c r="G809" i="35"/>
  <c r="G1462" i="35"/>
  <c r="G160" i="35"/>
  <c r="G399" i="35"/>
  <c r="G536" i="35"/>
  <c r="G743" i="35"/>
  <c r="E1099" i="35"/>
  <c r="E1334" i="35"/>
  <c r="E802" i="35"/>
  <c r="G868" i="35"/>
  <c r="E993" i="35"/>
  <c r="G1028" i="35"/>
  <c r="G1082" i="35"/>
  <c r="G1138" i="35"/>
  <c r="E1247" i="35"/>
  <c r="E101" i="35"/>
  <c r="G118" i="35"/>
  <c r="E120" i="35"/>
  <c r="G167" i="35"/>
  <c r="E182" i="35"/>
  <c r="E232" i="35"/>
  <c r="G331" i="35"/>
  <c r="E458" i="35"/>
  <c r="G529" i="35"/>
  <c r="E923" i="35"/>
  <c r="G107" i="35"/>
  <c r="F93" i="34"/>
  <c r="F99" i="34"/>
  <c r="E88" i="8"/>
  <c r="F83" i="8"/>
  <c r="D83" i="8" s="1"/>
  <c r="F88" i="8"/>
  <c r="D88" i="8" s="1"/>
  <c r="H39" i="35"/>
  <c r="H228" i="35"/>
  <c r="G230" i="35"/>
  <c r="H531" i="35"/>
  <c r="F530" i="35"/>
  <c r="H745" i="35"/>
  <c r="H237" i="35"/>
  <c r="H287" i="35"/>
  <c r="H295" i="35"/>
  <c r="H363" i="35"/>
  <c r="H371" i="35"/>
  <c r="H469" i="35"/>
  <c r="H685" i="35"/>
  <c r="G1207" i="35"/>
  <c r="H1212" i="35"/>
  <c r="E1318" i="35"/>
  <c r="G1406" i="35"/>
  <c r="E1455" i="35"/>
  <c r="H1327" i="35"/>
  <c r="H1333" i="35"/>
  <c r="H1397" i="35"/>
  <c r="H1406" i="35"/>
  <c r="H1525" i="35"/>
  <c r="H1531" i="35"/>
  <c r="G1545" i="35"/>
  <c r="G685" i="35" l="1"/>
  <c r="G1327" i="35"/>
  <c r="E99" i="34"/>
  <c r="E100" i="34" s="1"/>
  <c r="D99" i="34"/>
  <c r="E22" i="34"/>
  <c r="D22" i="34"/>
  <c r="F745" i="35"/>
  <c r="F371" i="35"/>
  <c r="F401" i="35"/>
  <c r="H1032" i="35"/>
  <c r="G1398" i="35"/>
  <c r="G1525" i="35"/>
  <c r="G237" i="35"/>
  <c r="F295" i="35"/>
  <c r="F531" i="35"/>
  <c r="G334" i="35"/>
  <c r="G869" i="35"/>
  <c r="G622" i="35"/>
  <c r="H812" i="35"/>
  <c r="F324" i="35"/>
  <c r="G295" i="35"/>
  <c r="G143" i="35"/>
  <c r="H232" i="35"/>
  <c r="G1031" i="35"/>
  <c r="H1463" i="35"/>
  <c r="G119" i="35"/>
  <c r="G811" i="35"/>
  <c r="F143" i="35"/>
  <c r="F334" i="35"/>
  <c r="F1333" i="35"/>
  <c r="H288" i="35"/>
  <c r="G287" i="35"/>
  <c r="F538" i="35"/>
  <c r="H870" i="35"/>
  <c r="G530" i="35"/>
  <c r="G686" i="35"/>
  <c r="G1463" i="35"/>
  <c r="F39" i="35"/>
  <c r="H623" i="35"/>
  <c r="H1084" i="35"/>
  <c r="G228" i="35"/>
  <c r="G1212" i="35"/>
  <c r="G469" i="35"/>
  <c r="G115" i="35"/>
  <c r="G538" i="35"/>
  <c r="E319" i="35"/>
  <c r="G1546" i="35"/>
  <c r="F237" i="35"/>
  <c r="G363" i="35"/>
  <c r="G1141" i="35"/>
  <c r="G401" i="35"/>
  <c r="G324" i="35"/>
  <c r="G1333" i="35"/>
  <c r="G1334" i="35" s="1"/>
  <c r="F170" i="35"/>
  <c r="F1232" i="35"/>
  <c r="F1141" i="35"/>
  <c r="G231" i="35"/>
  <c r="G170" i="35"/>
  <c r="G1083" i="35"/>
  <c r="G1232" i="35"/>
  <c r="G1531" i="35"/>
  <c r="F744" i="35"/>
  <c r="F1547" i="35"/>
  <c r="H1626" i="35"/>
  <c r="H1552" i="35"/>
  <c r="E100" i="35"/>
  <c r="E1594" i="35"/>
  <c r="C81" i="34"/>
  <c r="C84" i="34" s="1"/>
  <c r="C73" i="8"/>
  <c r="E735" i="35"/>
  <c r="E1388" i="35"/>
  <c r="E946" i="35"/>
  <c r="E675" i="35"/>
  <c r="E220" i="35"/>
  <c r="E800" i="35"/>
  <c r="E948" i="35"/>
  <c r="E393" i="35"/>
  <c r="E99" i="35"/>
  <c r="E355" i="35"/>
  <c r="E279" i="35"/>
  <c r="E523" i="35"/>
  <c r="E924" i="35"/>
  <c r="E1519" i="35"/>
  <c r="E961" i="35"/>
  <c r="E459" i="35"/>
  <c r="E1389" i="35"/>
  <c r="E1201" i="35"/>
  <c r="E604" i="35"/>
  <c r="E1076" i="35"/>
  <c r="E1518" i="35"/>
  <c r="E978" i="35"/>
  <c r="E1156" i="35"/>
  <c r="E1317" i="35"/>
  <c r="E1022" i="35"/>
  <c r="E1132" i="35"/>
  <c r="E801" i="35"/>
  <c r="E736" i="35"/>
  <c r="E977" i="35"/>
  <c r="E962" i="35"/>
  <c r="E1155" i="35"/>
  <c r="E221" i="35"/>
  <c r="E676" i="35"/>
  <c r="E862" i="35"/>
  <c r="E1580" i="35"/>
  <c r="E1454" i="35"/>
  <c r="E1568" i="35"/>
  <c r="E603" i="35"/>
  <c r="E1556" i="35"/>
  <c r="H120" i="35"/>
  <c r="F119" i="35"/>
  <c r="G162" i="35"/>
  <c r="G744" i="35"/>
  <c r="H163" i="35"/>
  <c r="F162" i="35"/>
  <c r="E89" i="8"/>
  <c r="E1517" i="35"/>
  <c r="F622" i="35"/>
  <c r="F1031" i="35"/>
  <c r="H402" i="35"/>
  <c r="H325" i="35"/>
  <c r="H1142" i="35"/>
  <c r="F811" i="35"/>
  <c r="F115" i="35"/>
  <c r="F100" i="34"/>
  <c r="D93" i="34"/>
  <c r="F89" i="8"/>
  <c r="D89" i="8" s="1"/>
  <c r="H686" i="35"/>
  <c r="F685" i="35"/>
  <c r="H1526" i="35"/>
  <c r="F1525" i="35"/>
  <c r="H1398" i="35"/>
  <c r="F1397" i="35"/>
  <c r="H1334" i="35"/>
  <c r="F1327" i="35"/>
  <c r="H1213" i="35"/>
  <c r="F1212" i="35"/>
  <c r="H470" i="35"/>
  <c r="F469" i="35"/>
  <c r="H364" i="35"/>
  <c r="F363" i="35"/>
  <c r="C76" i="8" l="1"/>
  <c r="D100" i="34"/>
  <c r="F1526" i="35"/>
  <c r="F1032" i="35"/>
  <c r="G745" i="35"/>
  <c r="E462" i="35"/>
  <c r="G163" i="35"/>
  <c r="G1552" i="35"/>
  <c r="G1032" i="35"/>
  <c r="E1079" i="35"/>
  <c r="G1547" i="35"/>
  <c r="G1142" i="35"/>
  <c r="G531" i="35"/>
  <c r="F812" i="35"/>
  <c r="F1334" i="35"/>
  <c r="E396" i="35"/>
  <c r="G288" i="35"/>
  <c r="G623" i="35"/>
  <c r="G1526" i="35"/>
  <c r="F232" i="35"/>
  <c r="F325" i="35"/>
  <c r="E1320" i="35"/>
  <c r="E1204" i="35"/>
  <c r="E526" i="35"/>
  <c r="G1213" i="35"/>
  <c r="F1213" i="35"/>
  <c r="E865" i="35"/>
  <c r="E282" i="35"/>
  <c r="F623" i="35"/>
  <c r="E1457" i="35"/>
  <c r="E358" i="35"/>
  <c r="G812" i="35"/>
  <c r="G1084" i="35"/>
  <c r="G470" i="35"/>
  <c r="E1135" i="35"/>
  <c r="F364" i="35"/>
  <c r="F686" i="35"/>
  <c r="F120" i="35"/>
  <c r="E1025" i="35"/>
  <c r="E927" i="35"/>
  <c r="G325" i="35"/>
  <c r="G364" i="35"/>
  <c r="F470" i="35"/>
  <c r="F1398" i="35"/>
  <c r="F402" i="35"/>
  <c r="F163" i="35"/>
  <c r="G120" i="35"/>
  <c r="G402" i="35"/>
  <c r="F288" i="35"/>
  <c r="G870" i="35"/>
  <c r="G232" i="35"/>
  <c r="F1142" i="35"/>
  <c r="E804" i="35"/>
  <c r="G1626" i="35"/>
  <c r="E103" i="35"/>
  <c r="E1521" i="35"/>
  <c r="E1621" i="35"/>
  <c r="E679" i="35"/>
  <c r="E739" i="35"/>
  <c r="E1392" i="35"/>
  <c r="E607" i="35"/>
  <c r="E224" i="35"/>
  <c r="F1552" i="35"/>
  <c r="F1626" i="35"/>
  <c r="E979" i="35"/>
  <c r="E963" i="35"/>
  <c r="E1157" i="35"/>
  <c r="E1619" i="35"/>
  <c r="E1623" i="35" l="1"/>
  <c r="E186" i="45" l="1"/>
  <c r="E125" i="45" l="1"/>
  <c r="H624" i="45" l="1"/>
  <c r="G624" i="45" s="1"/>
  <c r="H16" i="45" l="1"/>
  <c r="G16" i="45" s="1"/>
  <c r="H14" i="45"/>
  <c r="G14" i="45" s="1"/>
  <c r="E625" i="45" l="1"/>
  <c r="E640" i="45" l="1"/>
  <c r="E672" i="45" l="1"/>
  <c r="H671" i="45"/>
  <c r="G671" i="45" s="1"/>
  <c r="G672" i="45" s="1"/>
  <c r="H672" i="45" l="1"/>
  <c r="E423" i="34" l="1"/>
  <c r="E395" i="34"/>
  <c r="E277" i="34"/>
  <c r="E276" i="34"/>
  <c r="H138" i="45" l="1"/>
  <c r="G138" i="45" l="1"/>
  <c r="E740" i="45" l="1"/>
  <c r="E723" i="45"/>
  <c r="E669" i="45" l="1"/>
  <c r="H668" i="45"/>
  <c r="G668" i="45" s="1"/>
  <c r="G669" i="45" s="1"/>
  <c r="G673" i="45" s="1"/>
  <c r="E673" i="45" l="1"/>
  <c r="H669" i="45"/>
  <c r="H673" i="45" s="1"/>
  <c r="E519" i="45"/>
  <c r="E517" i="45" s="1"/>
  <c r="E540" i="45" s="1"/>
  <c r="H612" i="45" l="1"/>
  <c r="G612" i="45" s="1"/>
  <c r="H613" i="45"/>
  <c r="G613" i="45" s="1"/>
  <c r="H37" i="45" l="1"/>
  <c r="H36" i="45"/>
  <c r="H35" i="45"/>
  <c r="H34" i="45"/>
  <c r="H33" i="45"/>
  <c r="H32" i="45"/>
  <c r="H31" i="45"/>
  <c r="H30" i="45"/>
  <c r="H29" i="45"/>
  <c r="H27" i="45"/>
  <c r="H26" i="45"/>
  <c r="H25" i="45"/>
  <c r="H24" i="45"/>
  <c r="H23" i="45"/>
  <c r="H22" i="45"/>
  <c r="H21" i="45"/>
  <c r="H20" i="45"/>
  <c r="H19" i="45"/>
  <c r="H18" i="45"/>
  <c r="H17" i="45"/>
  <c r="H15" i="45"/>
  <c r="H13" i="45"/>
  <c r="H12" i="45"/>
  <c r="E695" i="45" l="1"/>
  <c r="E512" i="45" l="1"/>
  <c r="E751" i="45" l="1"/>
  <c r="E271" i="45" l="1"/>
  <c r="E1636" i="35" l="1"/>
  <c r="E1601" i="35" l="1"/>
  <c r="E1585" i="35" l="1"/>
  <c r="E1579" i="35" l="1"/>
  <c r="E1577" i="35"/>
  <c r="E1575" i="35"/>
  <c r="E1574" i="35"/>
  <c r="E1570" i="35"/>
  <c r="E1563" i="35"/>
  <c r="E1554" i="35" l="1"/>
  <c r="E1559" i="35"/>
  <c r="E1569" i="35" l="1"/>
  <c r="E1596" i="35" l="1"/>
  <c r="E713" i="45"/>
  <c r="E711" i="45" s="1"/>
  <c r="E679" i="45"/>
  <c r="E677" i="45" s="1"/>
  <c r="E631" i="45"/>
  <c r="E629" i="45" s="1"/>
  <c r="E586" i="45"/>
  <c r="E584" i="45" s="1"/>
  <c r="E424" i="45"/>
  <c r="E296" i="45"/>
  <c r="E294" i="45" s="1"/>
  <c r="E250" i="45"/>
  <c r="E249" i="45"/>
  <c r="E207" i="45"/>
  <c r="E205" i="45" s="1"/>
  <c r="E368" i="45" l="1"/>
  <c r="E1560" i="35"/>
  <c r="E1558" i="35"/>
  <c r="E568" i="45"/>
  <c r="F707" i="45" l="1"/>
  <c r="H706" i="45"/>
  <c r="G706" i="45" s="1"/>
  <c r="G707" i="45" s="1"/>
  <c r="E726" i="45"/>
  <c r="E725" i="45"/>
  <c r="E688" i="45"/>
  <c r="E566" i="45"/>
  <c r="E573" i="45"/>
  <c r="E728" i="45" l="1"/>
  <c r="E595" i="45"/>
  <c r="E565" i="45"/>
  <c r="E691" i="45"/>
  <c r="E662" i="45"/>
  <c r="H707" i="45"/>
  <c r="E572" i="45" l="1"/>
  <c r="E575" i="45" s="1"/>
  <c r="E665" i="45"/>
  <c r="E574" i="45"/>
  <c r="E598" i="45"/>
  <c r="E552" i="45"/>
  <c r="E554" i="45"/>
  <c r="E539" i="45"/>
  <c r="E527" i="45"/>
  <c r="E505" i="45"/>
  <c r="E453" i="45"/>
  <c r="E1402" i="45" l="1"/>
  <c r="E525" i="45"/>
  <c r="E451" i="45"/>
  <c r="E559" i="45"/>
  <c r="E551" i="45"/>
  <c r="E537" i="45"/>
  <c r="E538" i="45" l="1"/>
  <c r="E560" i="45"/>
  <c r="E558" i="45"/>
  <c r="E561" i="45" l="1"/>
  <c r="E423" i="45" l="1"/>
  <c r="E504" i="45"/>
  <c r="E503" i="45"/>
  <c r="E328" i="45"/>
  <c r="E308" i="45"/>
  <c r="E305" i="45"/>
  <c r="E506" i="45" l="1"/>
  <c r="E329" i="45"/>
  <c r="E248" i="45" l="1"/>
  <c r="E251" i="45" s="1"/>
  <c r="E327" i="45"/>
  <c r="E330" i="45" s="1"/>
  <c r="E163" i="45" l="1"/>
  <c r="E97" i="45"/>
  <c r="E96" i="45"/>
  <c r="E95" i="45"/>
  <c r="E98" i="45" l="1"/>
  <c r="E173" i="45"/>
  <c r="E171" i="45"/>
  <c r="E174" i="45" l="1"/>
  <c r="G21" i="45" l="1"/>
  <c r="G24" i="45"/>
  <c r="G23" i="45"/>
  <c r="G25" i="45"/>
  <c r="G22" i="45"/>
  <c r="G20" i="45"/>
  <c r="G17" i="45"/>
  <c r="G19" i="45"/>
  <c r="G29" i="45"/>
  <c r="G27" i="45"/>
  <c r="G18" i="45"/>
  <c r="G13" i="45"/>
  <c r="G36" i="45"/>
  <c r="G34" i="45"/>
  <c r="G26" i="45"/>
  <c r="G33" i="45"/>
  <c r="G31" i="45"/>
  <c r="G32" i="45"/>
  <c r="G35" i="45"/>
  <c r="G12" i="45"/>
  <c r="G37" i="45"/>
  <c r="H11" i="45"/>
  <c r="G11" i="45" s="1"/>
  <c r="G15" i="45"/>
  <c r="G30" i="45"/>
  <c r="E1634" i="35" l="1"/>
  <c r="E1633" i="35"/>
  <c r="E1632" i="35"/>
  <c r="H749" i="45" l="1"/>
  <c r="G749" i="45" l="1"/>
  <c r="G750" i="45" s="1"/>
  <c r="G751" i="45" s="1"/>
  <c r="H750" i="45"/>
  <c r="H751" i="45" l="1"/>
  <c r="F750" i="45"/>
  <c r="F751" i="45" s="1"/>
  <c r="E1637" i="35" l="1"/>
  <c r="E1578" i="35"/>
  <c r="E1640" i="35" l="1"/>
  <c r="E1576" i="35"/>
  <c r="E181" i="45" l="1"/>
  <c r="E377" i="45"/>
  <c r="E545" i="45"/>
  <c r="E592" i="45"/>
  <c r="E685" i="45"/>
  <c r="E696" i="45"/>
  <c r="E720" i="45"/>
  <c r="E425" i="45" l="1"/>
  <c r="E1620" i="35"/>
  <c r="E342" i="45"/>
  <c r="E606" i="45"/>
  <c r="E736" i="45"/>
  <c r="E260" i="45"/>
  <c r="E1624" i="35" l="1"/>
  <c r="E426" i="45"/>
  <c r="H616" i="45" l="1"/>
  <c r="G616" i="45" s="1"/>
  <c r="G179" i="45"/>
  <c r="G177" i="45"/>
  <c r="H116" i="45" l="1"/>
  <c r="G116" i="45" s="1"/>
  <c r="H117" i="45"/>
  <c r="H115" i="45"/>
  <c r="G115" i="45" s="1"/>
  <c r="H105" i="45"/>
  <c r="G105" i="45" s="1"/>
  <c r="H118" i="45" l="1"/>
  <c r="G117" i="45"/>
  <c r="G118" i="45" s="1"/>
  <c r="H279" i="45" l="1"/>
  <c r="G279" i="45" s="1"/>
  <c r="H283" i="45"/>
  <c r="G283" i="45" s="1"/>
  <c r="H281" i="45"/>
  <c r="G281" i="45" s="1"/>
  <c r="H286" i="45"/>
  <c r="G286" i="45" s="1"/>
  <c r="H282" i="45"/>
  <c r="G282" i="45" s="1"/>
  <c r="H284" i="45"/>
  <c r="G284" i="45" s="1"/>
  <c r="H276" i="45"/>
  <c r="G276" i="45" s="1"/>
  <c r="H278" i="45"/>
  <c r="G278" i="45" s="1"/>
  <c r="H280" i="45"/>
  <c r="G280" i="45" s="1"/>
  <c r="H277" i="45"/>
  <c r="G277" i="45" s="1"/>
  <c r="G289" i="45"/>
  <c r="G287" i="45"/>
  <c r="H285" i="45"/>
  <c r="G285" i="45" s="1"/>
  <c r="H288" i="45"/>
  <c r="G288" i="45" s="1"/>
  <c r="H254" i="45" l="1"/>
  <c r="H255" i="45" s="1"/>
  <c r="F255" i="45" s="1"/>
  <c r="G254" i="45" l="1"/>
  <c r="G255" i="45" s="1"/>
  <c r="H543" i="45" l="1"/>
  <c r="H544" i="45" s="1"/>
  <c r="F544" i="45" s="1"/>
  <c r="G543" i="45" l="1"/>
  <c r="G544" i="45" s="1"/>
  <c r="H545" i="45"/>
  <c r="F545" i="45" s="1"/>
  <c r="G545" i="45" l="1"/>
  <c r="H509" i="45" l="1"/>
  <c r="G509" i="45" s="1"/>
  <c r="H510" i="45" l="1"/>
  <c r="G510" i="45" s="1"/>
  <c r="G511" i="45" s="1"/>
  <c r="G512" i="45" s="1"/>
  <c r="H511" i="45" l="1"/>
  <c r="H512" i="45" s="1"/>
  <c r="F512" i="45" l="1"/>
  <c r="F511" i="45"/>
  <c r="H200" i="45" l="1"/>
  <c r="H731" i="45" l="1"/>
  <c r="H734" i="45" l="1"/>
  <c r="H735" i="45" s="1"/>
  <c r="H694" i="45"/>
  <c r="H604" i="45"/>
  <c r="H605" i="45" s="1"/>
  <c r="H579" i="45"/>
  <c r="H333" i="45"/>
  <c r="G333" i="45" s="1"/>
  <c r="H258" i="45"/>
  <c r="H199" i="45"/>
  <c r="H195" i="45"/>
  <c r="H194" i="45"/>
  <c r="H197" i="45"/>
  <c r="H196" i="45"/>
  <c r="H107" i="45"/>
  <c r="H111" i="45"/>
  <c r="H108" i="45"/>
  <c r="H109" i="45"/>
  <c r="H102" i="45"/>
  <c r="H140" i="45" l="1"/>
  <c r="H623" i="45"/>
  <c r="H617" i="45"/>
  <c r="G617" i="45" s="1"/>
  <c r="H615" i="45"/>
  <c r="G615" i="45" s="1"/>
  <c r="H610" i="45"/>
  <c r="H622" i="45"/>
  <c r="G622" i="45" s="1"/>
  <c r="H620" i="45"/>
  <c r="G620" i="45" s="1"/>
  <c r="H618" i="45"/>
  <c r="G618" i="45" s="1"/>
  <c r="H611" i="45"/>
  <c r="G611" i="45" s="1"/>
  <c r="H614" i="45"/>
  <c r="G614" i="45" s="1"/>
  <c r="H621" i="45"/>
  <c r="G621" i="45" s="1"/>
  <c r="H101" i="45"/>
  <c r="H139" i="45"/>
  <c r="H143" i="45"/>
  <c r="G143" i="45" s="1"/>
  <c r="H146" i="45"/>
  <c r="G146" i="45" s="1"/>
  <c r="H144" i="45"/>
  <c r="G144" i="45" s="1"/>
  <c r="H148" i="45"/>
  <c r="G148" i="45" s="1"/>
  <c r="H198" i="45"/>
  <c r="H601" i="45"/>
  <c r="H339" i="45"/>
  <c r="G339" i="45" s="1"/>
  <c r="H334" i="45"/>
  <c r="H338" i="45"/>
  <c r="H341" i="45" s="1"/>
  <c r="F180" i="45"/>
  <c r="H104" i="45"/>
  <c r="H110" i="45"/>
  <c r="H103" i="45"/>
  <c r="H113" i="45" l="1"/>
  <c r="H436" i="45"/>
  <c r="H364" i="45"/>
  <c r="F341" i="45"/>
  <c r="G610" i="45"/>
  <c r="H625" i="45"/>
  <c r="H336" i="45"/>
  <c r="F336" i="45" s="1"/>
  <c r="H201" i="45"/>
  <c r="F201" i="45" s="1"/>
  <c r="H290" i="45"/>
  <c r="F290" i="45" s="1"/>
  <c r="H257" i="45"/>
  <c r="H259" i="45" s="1"/>
  <c r="F436" i="45" l="1"/>
  <c r="F364" i="45"/>
  <c r="F625" i="45"/>
  <c r="H431" i="45"/>
  <c r="F431" i="45" s="1"/>
  <c r="F259" i="45"/>
  <c r="H260" i="45"/>
  <c r="F260" i="45" s="1"/>
  <c r="H38" i="45" l="1"/>
  <c r="F38" i="45" l="1"/>
  <c r="G197" i="45" l="1"/>
  <c r="G734" i="45" l="1"/>
  <c r="G735" i="45" s="1"/>
  <c r="G334" i="45" l="1"/>
  <c r="G104" i="45" l="1"/>
  <c r="G110" i="45" l="1"/>
  <c r="G731" i="45" l="1"/>
  <c r="G732" i="45" l="1"/>
  <c r="H732" i="45"/>
  <c r="F732" i="45" l="1"/>
  <c r="G736" i="45"/>
  <c r="H736" i="45"/>
  <c r="G604" i="45" l="1"/>
  <c r="G605" i="45" s="1"/>
  <c r="G601" i="45"/>
  <c r="G602" i="45" l="1"/>
  <c r="F605" i="45"/>
  <c r="H602" i="45"/>
  <c r="G606" i="45" l="1"/>
  <c r="H606" i="45"/>
  <c r="F606" i="45" s="1"/>
  <c r="G338" i="45"/>
  <c r="G341" i="45" s="1"/>
  <c r="G257" i="45" l="1"/>
  <c r="G258" i="45"/>
  <c r="F118" i="45"/>
  <c r="G259" i="45" l="1"/>
  <c r="G260" i="45" s="1"/>
  <c r="H695" i="45" l="1"/>
  <c r="G694" i="45" l="1"/>
  <c r="G695" i="45" l="1"/>
  <c r="H696" i="45"/>
  <c r="G696" i="45" l="1"/>
  <c r="G139" i="45" l="1"/>
  <c r="F736" i="45" l="1"/>
  <c r="F113" i="45"/>
  <c r="G196" i="45"/>
  <c r="G336" i="45"/>
  <c r="G431" i="45"/>
  <c r="G199" i="45"/>
  <c r="G140" i="45"/>
  <c r="G364" i="45"/>
  <c r="G195" i="45"/>
  <c r="G194" i="45"/>
  <c r="G102" i="45"/>
  <c r="G107" i="45"/>
  <c r="G101" i="45"/>
  <c r="G111" i="45"/>
  <c r="G103" i="45"/>
  <c r="G108" i="45"/>
  <c r="G109" i="45"/>
  <c r="G178" i="45"/>
  <c r="G180" i="45" s="1"/>
  <c r="G198" i="45"/>
  <c r="G623" i="45"/>
  <c r="G625" i="45" s="1"/>
  <c r="G579" i="45"/>
  <c r="H580" i="45"/>
  <c r="G113" i="45" l="1"/>
  <c r="G436" i="45"/>
  <c r="G201" i="45"/>
  <c r="F580" i="45"/>
  <c r="G38" i="45"/>
  <c r="H342" i="45"/>
  <c r="F342" i="45" s="1"/>
  <c r="G181" i="45"/>
  <c r="G290" i="45"/>
  <c r="G342" i="45"/>
  <c r="G580" i="45"/>
  <c r="H437" i="45"/>
  <c r="H119" i="45"/>
  <c r="H181" i="45"/>
  <c r="F119" i="45" l="1"/>
  <c r="F181" i="45"/>
  <c r="F437" i="45"/>
  <c r="G437" i="45"/>
  <c r="G119" i="45"/>
  <c r="H145" i="45" l="1"/>
  <c r="G145" i="45" s="1"/>
  <c r="G149" i="45" l="1"/>
  <c r="H149" i="45"/>
  <c r="F149" i="45" l="1"/>
  <c r="H931" i="35" l="1"/>
  <c r="E1627" i="35"/>
  <c r="E933" i="35"/>
  <c r="H932" i="35" l="1"/>
  <c r="E1628" i="35"/>
  <c r="G931" i="35"/>
  <c r="H1627" i="35"/>
  <c r="F932" i="35"/>
  <c r="F933" i="35" l="1"/>
  <c r="G932" i="35"/>
  <c r="G1627" i="35" s="1"/>
  <c r="H933" i="35"/>
  <c r="F1627" i="35"/>
  <c r="H1628" i="35" l="1"/>
  <c r="G933" i="35"/>
  <c r="F1628" i="35" l="1"/>
  <c r="G1628" i="35"/>
</calcChain>
</file>

<file path=xl/sharedStrings.xml><?xml version="1.0" encoding="utf-8"?>
<sst xmlns="http://schemas.openxmlformats.org/spreadsheetml/2006/main" count="5381" uniqueCount="441">
  <si>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</si>
  <si>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</si>
  <si>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</si>
  <si>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</si>
  <si>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</si>
  <si>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</si>
  <si>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</si>
  <si>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</si>
  <si>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</si>
  <si>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</si>
  <si>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</si>
  <si>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</si>
  <si>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</si>
  <si>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</si>
  <si>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</si>
  <si>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</si>
  <si>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</si>
  <si>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</si>
  <si>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</si>
  <si>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</si>
  <si>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</si>
  <si>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</si>
  <si>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</si>
  <si>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</si>
  <si>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</si>
  <si>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</si>
  <si>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</si>
  <si>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</si>
  <si>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</si>
  <si>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</si>
  <si>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</si>
  <si>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</si>
  <si>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</si>
  <si>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</si>
  <si>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</si>
  <si>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</si>
  <si>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</si>
  <si>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</si>
  <si>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</si>
  <si>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</si>
  <si>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</si>
  <si>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</si>
  <si>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</si>
  <si>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</si>
  <si>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</si>
  <si>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</si>
  <si>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</si>
  <si>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</si>
  <si>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</si>
  <si>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</si>
  <si>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</si>
  <si>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</si>
  <si>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</si>
  <si>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</si>
  <si>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</si>
  <si>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</si>
  <si>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</si>
  <si>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</si>
  <si>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</si>
  <si>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</si>
  <si>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</si>
  <si>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</si>
  <si>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</si>
  <si>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</si>
  <si>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</si>
  <si>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</si>
  <si>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</si>
  <si>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</si>
  <si>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</si>
  <si>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</si>
  <si>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</si>
  <si>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</si>
  <si>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</si>
  <si>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Скорая медицинская помощь (вызовы)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</si>
  <si>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</si>
  <si>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</si>
  <si>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</si>
  <si>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</si>
  <si>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</si>
  <si>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</si>
  <si>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</si>
  <si>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</si>
  <si>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</si>
  <si>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</si>
  <si>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</si>
  <si>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</si>
  <si>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</si>
  <si>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</si>
  <si>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</si>
  <si>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</si>
  <si>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</si>
  <si>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ИССЛЕДОВАНИЯ:</t>
  </si>
  <si>
    <t>медицинская реабилитация</t>
  </si>
  <si>
    <t>Стационар дневного пребывания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</si>
  <si>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</si>
  <si>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</si>
  <si>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</si>
  <si>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 xml:space="preserve">Экстракорпоральное оплодотворение </t>
  </si>
  <si>
    <t>Поликлиника (по самостоятельным тарифам)</t>
  </si>
  <si>
    <t>УЗИ-диагностика</t>
  </si>
  <si>
    <t>Электроэнцефалография (ЭЭГ)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</si>
  <si>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</si>
  <si>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</si>
  <si>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</si>
  <si>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</si>
  <si>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</si>
  <si>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</si>
  <si>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Вызов СМП с применением тромболитической терапии</t>
  </si>
  <si>
    <t>Скорая медицинская помощь (итого)</t>
  </si>
  <si>
    <t>Наименование МО</t>
  </si>
  <si>
    <t>койки сестринского ухода</t>
  </si>
  <si>
    <t xml:space="preserve">Поликлиника </t>
  </si>
  <si>
    <t>ИТОГО - по поликлинике (посещений)</t>
  </si>
  <si>
    <t>психоневрологические</t>
  </si>
  <si>
    <t>Гемодиафильтрация</t>
  </si>
  <si>
    <t>Койко-дни ОМС</t>
  </si>
  <si>
    <t>1.1. Посещение в Центре здоровья, всего</t>
  </si>
  <si>
    <t>в т.ч. посещения в травмпункте (первичные)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</si>
  <si>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</si>
  <si>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</si>
  <si>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</si>
  <si>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</si>
  <si>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</si>
  <si>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</si>
  <si>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</si>
  <si>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</si>
  <si>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</si>
  <si>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</si>
  <si>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</si>
  <si>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</si>
  <si>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</si>
  <si>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</si>
  <si>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</si>
  <si>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</si>
  <si>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</si>
  <si>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</si>
  <si>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</si>
  <si>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</si>
  <si>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</si>
  <si>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</si>
  <si>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</si>
  <si>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</si>
  <si>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</si>
  <si>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</si>
  <si>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</si>
  <si>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2.1. Обращения 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</si>
  <si>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</si>
  <si>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</si>
  <si>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Суточное мониторирование артериального давления (СМАД)</t>
  </si>
  <si>
    <t>ПЦР-диагностика (Real time)</t>
  </si>
  <si>
    <t xml:space="preserve">Лабораторные исследования </t>
  </si>
  <si>
    <t xml:space="preserve">оториноларингологические     </t>
  </si>
  <si>
    <t xml:space="preserve">хирургические    </t>
  </si>
  <si>
    <t xml:space="preserve">    гастроэнтерологические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</si>
  <si>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</si>
  <si>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</si>
  <si>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Всего финансирование, в том числе:</t>
  </si>
  <si>
    <t xml:space="preserve"> Итого по круглосуточному стационару</t>
  </si>
  <si>
    <t>в том числе ВМП (высокотехнологичная медицинская помощь)</t>
  </si>
  <si>
    <t xml:space="preserve"> Итого медицинская реабилитация</t>
  </si>
  <si>
    <t>Проверка</t>
  </si>
  <si>
    <t xml:space="preserve">      Стационар дневного пребывания (СДП)</t>
  </si>
  <si>
    <t xml:space="preserve"> в т.ч Экстракорпоральное оплодотворение(случай лечения)</t>
  </si>
  <si>
    <t xml:space="preserve"> в том числе медицинская реабилитация ДС</t>
  </si>
  <si>
    <t>ИТОГО диализ</t>
  </si>
  <si>
    <t>Исследования:</t>
  </si>
  <si>
    <t>Итого диализ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</si>
  <si>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</si>
  <si>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</si>
  <si>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Перитонеальный диализ с использованием автоматизированных технологий</t>
  </si>
  <si>
    <t>онкологические опухолей головы и шеи</t>
  </si>
  <si>
    <t>онкология</t>
  </si>
  <si>
    <t xml:space="preserve">оториноларингологические  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</si>
  <si>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</si>
  <si>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</si>
  <si>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</si>
  <si>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</si>
  <si>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 xml:space="preserve">   неврологические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</si>
  <si>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</si>
  <si>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</si>
  <si>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</si>
  <si>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</si>
  <si>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</si>
  <si>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</si>
  <si>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 xml:space="preserve">   инфекционные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</si>
  <si>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</si>
  <si>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</si>
  <si>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</si>
  <si>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УЗИ диагностика</t>
  </si>
  <si>
    <t>Гемодиализ интермитирующий продленный, сеанс лечения</t>
  </si>
  <si>
    <t>Гемодиафильтрация продленная</t>
  </si>
  <si>
    <t xml:space="preserve">Гемофильтрация крови </t>
  </si>
  <si>
    <t>1. Посещения с иными целями, всего</t>
  </si>
  <si>
    <t xml:space="preserve"> Посещения в связи с диспансеризацией, всего</t>
  </si>
  <si>
    <t xml:space="preserve"> Посещения в связи с профилактическими медицинскими осмотрами, всего</t>
  </si>
  <si>
    <t>Всего посещений с иными целями</t>
  </si>
  <si>
    <t>Всего посещений при проведении профилактических мероприятий</t>
  </si>
  <si>
    <t>Всего обращений по поводу заболеваний</t>
  </si>
  <si>
    <t>Всего посещений с связи с оказанием неотложной помощи</t>
  </si>
  <si>
    <t>УЗИ диагностика сердечно-сосудистой системы</t>
  </si>
  <si>
    <t>УЗИ диагностика (доплерография) сердечно-сосудистой системы</t>
  </si>
  <si>
    <t xml:space="preserve"> Эндоскопические методы исследования</t>
  </si>
  <si>
    <t>Магнитно-резонансная томография (МРТ)</t>
  </si>
  <si>
    <t>гнойной хирургии</t>
  </si>
  <si>
    <t>УЗИ диагностика  (доплерография) сердечно-сосудистой системы</t>
  </si>
  <si>
    <t>УЗИ диагностика  сердечно-сосудистой системы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</si>
  <si>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мужчин (спермограмма)</t>
  </si>
  <si>
    <t>в том числе ВМП</t>
  </si>
  <si>
    <t>Молекулярно-генетическое исследование мутаций в гене EGFR в биопсийном (операционном) материале</t>
  </si>
  <si>
    <t>Дневной стационар при поликлинике (ДС)</t>
  </si>
  <si>
    <t>МРТ с внутривенным контрастированием</t>
  </si>
  <si>
    <t xml:space="preserve">МРТ с внутривенным контрастированием </t>
  </si>
  <si>
    <t>Компьютерная томография с внутривенным  контрастированием</t>
  </si>
  <si>
    <t>Всего по МО</t>
  </si>
  <si>
    <t xml:space="preserve">Видеоколоноскопия 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</si>
  <si>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</si>
  <si>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</si>
  <si>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</si>
  <si>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</si>
  <si>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</si>
  <si>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</si>
  <si>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</si>
  <si>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</si>
  <si>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</si>
  <si>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0353001</t>
  </si>
  <si>
    <t>5155001</t>
  </si>
  <si>
    <t>0352005</t>
  </si>
  <si>
    <t>0352006</t>
  </si>
  <si>
    <t>2301165</t>
  </si>
  <si>
    <t>0351002</t>
  </si>
  <si>
    <t>0352002</t>
  </si>
  <si>
    <t>3141002</t>
  </si>
  <si>
    <t>3141003</t>
  </si>
  <si>
    <t>3141004</t>
  </si>
  <si>
    <t>3141007</t>
  </si>
  <si>
    <t>3148002</t>
  </si>
  <si>
    <t>3151001</t>
  </si>
  <si>
    <t>0306001</t>
  </si>
  <si>
    <t>3101009</t>
  </si>
  <si>
    <t>4346004</t>
  </si>
  <si>
    <t>3131001</t>
  </si>
  <si>
    <t>3310001</t>
  </si>
  <si>
    <t>Определение коронавируса COVID-19 в мазках со слизистой оболочки носо- и ротоглотки методом ПЦР</t>
  </si>
  <si>
    <t>Молекулярно-генетическое исследование мутаций в гене BRAF в биопсийном (операционном) материле</t>
  </si>
  <si>
    <t xml:space="preserve">Молекулярно-генетическое исследование мутаций в генах BRCA1 и BRCA2 </t>
  </si>
  <si>
    <t>Молекулярно-генетическое исследование мутаций в гене KRAS в биопсийном (операционном) материле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</si>
  <si>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</si>
  <si>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инфекционное</t>
  </si>
  <si>
    <t>Отбор биологического материала для лабораторного исследования на наличие коронавируса COVID-19 со слизистой оболочки носо- и ротоглотки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</si>
  <si>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 ВМУ</t>
  </si>
  <si>
    <t>Поликлиника (по подушевому финансированию  и нормативу финансирования структурного подразделения)</t>
  </si>
  <si>
    <t>5. Посещение с иными целями, всего</t>
  </si>
  <si>
    <t>5.1. Посещение в Центре здоровья</t>
  </si>
  <si>
    <t>6. Обращения по поводу заболевания</t>
  </si>
  <si>
    <t>6.1 Обращения</t>
  </si>
  <si>
    <t>6.2. Обращения по стоматологии</t>
  </si>
  <si>
    <t>7. Посещения в связи с оказанием неотложной помощи</t>
  </si>
  <si>
    <t>8. Посещение врачей  приемных отделений при оказании МП пациентам, не нуждающимся в оказании стационарной помощи</t>
  </si>
  <si>
    <t>5. Посещение с иными целями,   в консультативно-диагностических центрах (отделениях) всего</t>
  </si>
  <si>
    <t>8. Посещение врачей приемных отделений при оказании медицинской помощи пациентам, не нуждающимся в оказании стационарной помощи</t>
  </si>
  <si>
    <t>6. Обращения в консультативно-диагностических центрах (отделениях)</t>
  </si>
  <si>
    <t xml:space="preserve"> 6.2 (а) в т.ч. (УЕТ)</t>
  </si>
  <si>
    <t>8. Посещения в связи с оказанием неотложной помощи</t>
  </si>
  <si>
    <t xml:space="preserve"> 6.2 (в) в т.ч. ортодонтия (УЕТ)</t>
  </si>
  <si>
    <t>6.2 (в) в т.ч. ортодонтия (УЕТ)</t>
  </si>
  <si>
    <t xml:space="preserve">6.1. Обращения </t>
  </si>
  <si>
    <t>Итого консультации с применением телемедицинских технологий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</si>
  <si>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</t>
  </si>
  <si>
    <t>Пункция новообразования молочной железы прицельная пункционная под контролем ультразукового исследования</t>
  </si>
  <si>
    <t>Биопсия (мультифокальная) предстательной железы транректальная пункционная под контролем ультразвукового исследования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</si>
  <si>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</si>
  <si>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</si>
  <si>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Трепанбиопсия опухолей наружных локализаций, лимфатических узлов под визуальным контролем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</si>
  <si>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 (ВМУ)</t>
  </si>
  <si>
    <t>онкологический  (химиотерапевтический)</t>
  </si>
  <si>
    <t>Рентгеноскопия</t>
  </si>
  <si>
    <t>Дистанционная консультация  в режиме реального времени (ВМУ)</t>
  </si>
  <si>
    <t>Дистанционная консультация  в режиме отсроченой консультации (ВМУ)</t>
  </si>
  <si>
    <t>Дистанционный консилиум с участием 2-3 специалистов (ВМУ)</t>
  </si>
  <si>
    <t>Дистанционное взаимодействие по вопросам диагностики и лечения новой коронавирусной инфекции COVID-19 (ВМУ)</t>
  </si>
  <si>
    <t>Дистанционное предоставление заключения (описание, интерпретация) по данным выполненного исследования 1 группы (ультразвуковое, эндоскопическое, функциональное) (ВМУ)</t>
  </si>
  <si>
    <t>Дистанционное предоставление заключения (описание, интерпретация) по данным выполненного патологоанатомического исследования (ВМУ)</t>
  </si>
  <si>
    <t>Лабораторные исследования (ВМУ)</t>
  </si>
  <si>
    <t>Скрининговое УЗИ при сроке беременности 19-21 недели по оценке антенатального развития плода</t>
  </si>
  <si>
    <t>Лазерное оперативное лечение</t>
  </si>
  <si>
    <t>Исследование уровня прокальцитонина в крови (ВМУ)</t>
  </si>
  <si>
    <t>Молекулярно-генетическое исследование мутаций в гене NRAS в биопсийном (операционном) материле</t>
  </si>
  <si>
    <t xml:space="preserve"> 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</si>
  <si>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женщиин (молекулярно-биологические исследование по результатам лечения)</t>
  </si>
  <si>
    <t>Выявление антигена SARS-CoV-2 методом ИХА</t>
  </si>
  <si>
    <t>Микробиологическое (культуральное) исследование мокроты на аэробные и факультативно-анаэробные микроорганизмы</t>
  </si>
  <si>
    <t>Микробиологическое (культуральное) исследование мокроты на грибы (дрожжевые и мицелильные)</t>
  </si>
  <si>
    <t>Скрининговое УЗИ при сроке беременности 11-14 недели по оценке антенатального развития плода</t>
  </si>
  <si>
    <t xml:space="preserve">Экспертное УЗИ беременных </t>
  </si>
  <si>
    <t xml:space="preserve">Определение микросателлитной
нестабильности MSI в биопсийном (операционном) материале </t>
  </si>
  <si>
    <t>Молекулярно-генетическое исследование
гена ALK методом флюоресцентной
гибридизации in situ (FISH)</t>
  </si>
  <si>
    <r>
      <t>Объемы медицинской помощи ОМС (случаев госпитализации, посещений)</t>
    </r>
    <r>
      <rPr>
        <b/>
        <sz val="10"/>
        <rFont val="Times New Roman"/>
        <family val="1"/>
        <charset val="204"/>
      </rPr>
      <t xml:space="preserve"> </t>
    </r>
  </si>
  <si>
    <t>Компьютерная томография  с внутривенным усилением</t>
  </si>
  <si>
    <t>Перитонеальный диализ при нарушении ультрафильтрации</t>
  </si>
  <si>
    <t>1</t>
  </si>
  <si>
    <t>эндокриналогическое</t>
  </si>
  <si>
    <t>Перитонеальный диализ проточный</t>
  </si>
  <si>
    <t>Неврология 2 балла по ШРМ</t>
  </si>
  <si>
    <t>Кардиология 2 балла по ШРМ</t>
  </si>
  <si>
    <t>Другие соматические заболевания 2 балла по ШРМ</t>
  </si>
  <si>
    <t>2.КГБУЗ "Краевая клиническая больница" имени профессора О.В. Владимирцева МЗХК 0310001, 270004</t>
  </si>
  <si>
    <t>3. КГБУЗ "Перинатальный центр" имени профессора Г.С.Постола МЗ ХК  0252002, 270007</t>
  </si>
  <si>
    <t>4. КГБУЗ "Детская краевая клиническая больница" имени А.К. Пиотровича МЗХК 0252001, 270148</t>
  </si>
  <si>
    <t>5. КГБУЗ "Краевой клинический центр онкологии" МЗХК 0351001, 270008</t>
  </si>
  <si>
    <t>6.КГБУЗ "Консультативно-диагностический центр "Вивея" министерства здравоохранения Хабаровского края 0301001, 270002</t>
  </si>
  <si>
    <t>7.КГБУЗ "Клинический центр восстановительной медицины и реабилитации" МЗХК 0301003, 270003</t>
  </si>
  <si>
    <t>8. КГБОУ ДПО "ИПКСЗ" МЗХК 0307003, 270014</t>
  </si>
  <si>
    <t>10. Хабаровский филиал ФГАУ " НМИЦ "МНТК "Микрохирургия глаза" им.акад.С.Н.Федорова МЗ РФ 0353001, 270015</t>
  </si>
  <si>
    <t>1. КГБУЗ "Городская больница" имени М.И. Шевчук МЗХК 3141002, 270050</t>
  </si>
  <si>
    <t>2. КГБУЗ "Городская больница № 3" МЗХК 3141003, 270051</t>
  </si>
  <si>
    <t>3. КГБУЗ "Городская больница" имени А.В Шульмана МЗХК 3141004, 270052</t>
  </si>
  <si>
    <t>4. КГБУЗ "Городская больница № 7" МЗХК 3141007, 270053</t>
  </si>
  <si>
    <t xml:space="preserve"> 5.КГБУЗ "Родильный дом № 3" 3148002, 270054</t>
  </si>
  <si>
    <t>6. КГБУЗ "Онкологический диспансер" МЗХК  3151001, 270058</t>
  </si>
  <si>
    <t>7. КГБУЗ "Детская городская больница" МЗХК 3241001, 270056</t>
  </si>
  <si>
    <t>8. КГБУЗ "Территориальный консультативно-диагностический центр" МЗ ХК 0306001, 270009</t>
  </si>
  <si>
    <t>9. КГБУЗ "Городская поликлиника № 9" МЗХК 3101009, 270047</t>
  </si>
  <si>
    <t>1. КГБУЗ "Верхнебуреинская центральная районная больница" МЗХК 1343008, 270156</t>
  </si>
  <si>
    <t>11. ФГКУ "301 Военный клинический госпиталь" Минобороны РФ 5155001, 270044</t>
  </si>
  <si>
    <t>12. ФГБУ "Федеральный центр сердечно-сосудистой хирургии" МЗ РФ (г. Хабаровск) 0352005, 270113</t>
  </si>
  <si>
    <t>13.Хабаровский филиал ФГБНУ ДНЦ ФПД  -НИИОМиД 0352006, 270115</t>
  </si>
  <si>
    <t>14. Компания "Б.Браун Авитум Руссланд" в г.Хабаровске 2301165, 270165</t>
  </si>
  <si>
    <t>15. КГБУЗ "Краевой кожно-венерологический диспансер" МЗХК 0351002,270149</t>
  </si>
  <si>
    <t>16. КГБУЗ "Центр по профилактике и борьбе со СПИД и инфекционными заболеваниями" МЗХК 0352002, 270161</t>
  </si>
  <si>
    <t>1. КГБУЗ "Районная больница района имени Лазо" МЗХК 1343303, 270169</t>
  </si>
  <si>
    <t>Исследование уровня лекарственных препаратов в крови (циклоспорин А, такролимус, эверолимус)</t>
  </si>
  <si>
    <t>Молекулярно-гинетические исследования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</si>
  <si>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 (ВМУ)</t>
  </si>
  <si>
    <t xml:space="preserve">4. Посещения при проведении профилактических мероприятий (комплексное посещение) </t>
  </si>
  <si>
    <t>4.1. Диспансеризация взрослого населения 1 этап</t>
  </si>
  <si>
    <t>4.1.(а)  Диспансеризация взрослого населения 1 этапа, проводимая мобильными медицинскими бригадами</t>
  </si>
  <si>
    <t>4. Посещения при проведении профилактических мероприятий (комплексное посещение) *</t>
  </si>
  <si>
    <t>Объемы медицинской помощи по территориальной программе обязательного медицинского страхования на 2023 год</t>
  </si>
  <si>
    <t xml:space="preserve"> Заболевания опорно-двигательного аппарата и перифирической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</si>
  <si>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</si>
  <si>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</si>
  <si>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</si>
  <si>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</si>
  <si>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</si>
  <si>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</si>
  <si>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</si>
  <si>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Автоматические (закрытые системы) биохимические исследования (ВМУ)</t>
  </si>
  <si>
    <t>1. КГБУЗ "Городская клиническая больница" им.профессора А.M. Войно-Ясенецкого МЗХК 2141010, 270017</t>
  </si>
  <si>
    <t>2. КГБУЗ "Городская клиническая больница" имени профессора Г.Л.Александровича МЗХК 2144011, 270018</t>
  </si>
  <si>
    <t>3. КГБУЗ "Детская городская клиническая больница имени В.М.Истомина" МЗХК 2241001, 270040</t>
  </si>
  <si>
    <t>4. КГБУЗ "Детская городская клиническая больница № 9" МЗХК 2241009, 270041</t>
  </si>
  <si>
    <t>5. КГБУЗ "Родильный дом № 1" МЗХК 2148001, 270032</t>
  </si>
  <si>
    <t>6. КГБУЗ "Родильный дом № 2" МЗХК 2148002, 270033</t>
  </si>
  <si>
    <t>7. КГБУЗ "Родильный дом № 4" МЗХК 2148004, 270034</t>
  </si>
  <si>
    <t>8. КГБУЗ "Городская клиническая поликлиника № 3" МЗХК 2101003, 270019</t>
  </si>
  <si>
    <t>9. КГБУЗ "Городская поликлиника № 5" МЗХК 2141005, 270020</t>
  </si>
  <si>
    <t>10. КГБУЗ "Клинико-диагностический центр" МЗХК 2101006, 270021</t>
  </si>
  <si>
    <t>11. КГБУЗ "Городская поликлиника № 7" МЗХК 2101007, 270022</t>
  </si>
  <si>
    <t>12. КГБУЗ "Городская поликлиника № 8" МЗХК 2101008, 270023</t>
  </si>
  <si>
    <t>13. КГБУЗ "Городская поликлиника № 11" МЗХК 2101011, 270024</t>
  </si>
  <si>
    <t>14. КГБУЗ "Городская поликлиника № 15" МЗХК 2101015, 270025</t>
  </si>
  <si>
    <t xml:space="preserve"> 15. КГБУЗ "Городская поликлиника № 16" МЗХК 2101016, 270026</t>
  </si>
  <si>
    <t>16. КГБУЗ "Стоматологическая поликлиника № 18" МЗХК 2107018, 270027</t>
  </si>
  <si>
    <t>17. КГБУЗ "Стоматологическая поликлиника № 19" МЗХК 2107019, 270028</t>
  </si>
  <si>
    <t>18. КГБУЗ "Стоматологическая поликлиника № 25 "Ден-Тал-Из" МЗХК 2107802,270030</t>
  </si>
  <si>
    <t>19. КГБУЗ "Детская городская  поликлиника № 1" МЗХК 2201001, 270035</t>
  </si>
  <si>
    <t>20. КГБУЗ "Детская городская клиническая поликлиника № 3" МЗХК 2201003, 270036</t>
  </si>
  <si>
    <t xml:space="preserve"> 21. КГБУЗ "Детская городская поликлиника № 17" МЗХК  2201017, 270037</t>
  </si>
  <si>
    <t>22. КГБУЗ "Детская стоматологическая поликлиника № 22" МЗХК 2207022, 270039</t>
  </si>
  <si>
    <t>23. КГБУЗ "Детская городская поликлиника № 24" МЗХК 2201024, 270038</t>
  </si>
  <si>
    <t>24. ЧУЗ "Клиническая больница "РЖД-Медицина" г.Хабаровск 4346001, 270042</t>
  </si>
  <si>
    <t>25. Хабаровская поликлиника ФГБУЗ "Дальневосточный окружной медицинский центр ФМБА" 6341001, 270043</t>
  </si>
  <si>
    <t>26. ФКУЗ "Медико-санитарная часть МВД России по Хабаровскому краю" 8156001, 270123</t>
  </si>
  <si>
    <t>27. КГБУЗ "Хабаровская станция СМП" МЗ ХК 2310001, 270111</t>
  </si>
  <si>
    <t>28.ФБОУ ВО "ДВГМУ" МЗ РФ  2107803, 270108</t>
  </si>
  <si>
    <t>29. КГБУЗ "Детский клинический центр медицинской реабилитации "Амурский" МЗХК 2223001, 270116</t>
  </si>
  <si>
    <t>11. ЧУЗ "Клиническая больница  "РЖД-Медицина" г. Комсомольск-на-Амуре 4346004, 270057</t>
  </si>
  <si>
    <t>12. ФГБУЗ "Медико-санитарная часть № 99 ФМБА" 3131001, 270060</t>
  </si>
  <si>
    <t>13. Компания "Б.Браун Авитум Руссланд" в г.Комсомольск-на-Амуре  2301165, 270165</t>
  </si>
  <si>
    <t>14. КГБУЗ "Станция скорой медицинской помощи г. Комсомольска-на-Амуре" МЗХК 3310001, 270132</t>
  </si>
  <si>
    <t xml:space="preserve">4.2. Углубленная диспансеризация взрослого населения I этап: </t>
  </si>
  <si>
    <t>4.3. Углубленная диспансеризация взрослого населения II этап:</t>
  </si>
  <si>
    <t xml:space="preserve">4.4. Диспансеризация детей-сирот, находящихся в стационарных учреждениях </t>
  </si>
  <si>
    <t xml:space="preserve">4.5. Диспансеризация детей-сирот, находящихся в семьях </t>
  </si>
  <si>
    <t>4.6. Профилактический медицинский осмотр лиц старше 18 лет</t>
  </si>
  <si>
    <t xml:space="preserve">4.7. Профилактические медицинские осмотры несовершеннолетних, предусмотренные отчетностью на портале МЗ РФ </t>
  </si>
  <si>
    <t xml:space="preserve">4.8. Профилактические медицинские осмотры несовершеннолетних, предусмотренные порядками </t>
  </si>
  <si>
    <t>1. КГБУЗ "Городская больница № 2" им. Матвеева МЗХК 2141002, 270016</t>
  </si>
  <si>
    <t>5.2. Разовые посещения в связи с заболеванием в том числе:</t>
  </si>
  <si>
    <t>5.2.1 Разовые посещения</t>
  </si>
  <si>
    <t>5.2.2. Профилактические услуги  в стоматологии (ует)</t>
  </si>
  <si>
    <t>5.2.3. Разовые посещения выполненные мобильными выездными бригадами (выезды в районы края)</t>
  </si>
  <si>
    <t>5.3. Посещения с иными целями медицинских работников, имеющих среднее медицинское образование, ведущих самостоятельный прием</t>
  </si>
  <si>
    <t>5.4. Посещения с другими целями (патронаж, выдача справок и иных медицинских документов и др.)</t>
  </si>
  <si>
    <t>5.5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</si>
  <si>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5.6.Диспансеризация взрослого населения 2 этап</t>
  </si>
  <si>
    <t>Всего посещений в связи с диспансерным наблюдением определенных групп взрослого населения</t>
  </si>
  <si>
    <t>1.2. Разовые посещения в связи с заболеванием</t>
  </si>
  <si>
    <t>1.3. Посещения с иными целями медицинских работников, имеющих среднее медицинское образование, ведущих самостоятельный прием</t>
  </si>
  <si>
    <t>1.4. Посещения с другими целями (патронаж, выдача справок и иных медицинских документов и др.)</t>
  </si>
  <si>
    <t>1.5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</si>
  <si>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4. Посещения при проведении профилактических мероприятий</t>
  </si>
  <si>
    <t>4.1. в т.ч (а)  Диспансеризация взрослого населения 1 этапа, проводимая мобильными медицинскими бригадами</t>
  </si>
  <si>
    <t>5.2.4.Разовые посещения с применением передвижных форм предоставления медицинских услуг на базе водных транспортных средств</t>
  </si>
  <si>
    <t>4.1. в т.ч.(а)  Диспансеризация взрослого населения 1 этапа, проводимая мобильными медицинскими бригадами</t>
  </si>
  <si>
    <t>4.5 в т.ч.(а) Диспансеризация детей-сирот, проводимая мобильными медицинскими бригадами (посещений)</t>
  </si>
  <si>
    <t>4.6 в т.ч. (а) Профилактический медицинский осмотр лиц старше 18 лет, проводимый мобильными медицинскими бригадами</t>
  </si>
  <si>
    <t xml:space="preserve">Жидкостное цитологическое исследование </t>
  </si>
  <si>
    <t>Определение ДНК вирусов папилломы человека,  методом ПЦР</t>
  </si>
  <si>
    <t>Молекулярно-биологическое исследование мазков со слизистой оболочки носоглотки на вирус гриппа</t>
  </si>
  <si>
    <t>Жидкостное цитологическое исследование  (ВМУ)</t>
  </si>
  <si>
    <t>Жидкостное цитологическое исследование (ВМУ)</t>
  </si>
  <si>
    <t>9. КГАУЗ "Стоматологическая поликлиника "Регион" МЗХК 0307002, 270006</t>
  </si>
  <si>
    <t>Патолого-анатомическое исследование биопсийного (операционного) материала с применением иммуногистохимических методов</t>
  </si>
  <si>
    <t xml:space="preserve">2.2. Комплексное посещение для проведения диспансерного наблюдения несовершеннолетних </t>
  </si>
  <si>
    <t>3. Комплексное посещение для проведения диспансерного наблюдения определенных групп взрослого населения</t>
  </si>
  <si>
    <t>Маммография</t>
  </si>
  <si>
    <t>6.3. Обращения по реабилитации:</t>
  </si>
  <si>
    <t>6.3. Обращения по реабилитаци:</t>
  </si>
  <si>
    <t>Молекулярно-биологическое исследование мазков со слизистой оболочки носоглотки на вирус гриппа ВМУ</t>
  </si>
  <si>
    <r>
      <t>3. Комплексное посещение для проведения диспансерного наблюдения определенных групп взрослого населения по заболеваниям, предусмотренным</t>
    </r>
    <r>
      <rPr>
        <b/>
        <sz val="11"/>
        <rFont val="Times New Roman"/>
        <family val="1"/>
        <charset val="204"/>
      </rPr>
      <t xml:space="preserve"> Приказами МЗ РФ № 168н, №548н</t>
    </r>
  </si>
  <si>
    <r>
      <t xml:space="preserve">2.3. Комплексное посещение для проведения диспансерного наблюдения определенных групп взрослого населения по </t>
    </r>
    <r>
      <rPr>
        <b/>
        <sz val="11"/>
        <rFont val="Times New Roman"/>
        <family val="1"/>
        <charset val="204"/>
      </rPr>
      <t xml:space="preserve"> иным заболеваниям</t>
    </r>
  </si>
  <si>
    <t xml:space="preserve">5.7. Комплексное посещение школы для пациентов с сахарным диабетом </t>
  </si>
  <si>
    <t>5.7.1. Взрослые с сахарным диабетом 1 типа</t>
  </si>
  <si>
    <t>5.7.2. Взрослые с сахарным диабетом 2 типа</t>
  </si>
  <si>
    <t>5.7.3. Дети и подростки с сахарным диабетом</t>
  </si>
  <si>
    <t>Определение амплификации гена HER2 методом флюоресцентной гибридизации in situ (FISH)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</si>
  <si>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</si>
  <si>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Рентгеноскопия (ст. тариф)</t>
  </si>
  <si>
    <t>6.3 Обращения по заболеванию по профилю "медицинская реабилитация"</t>
  </si>
  <si>
    <t>1. КГБУЗ "Краевая клиническая больница" им. проф. С.И. Сергеева МЗХК 0352001, 270005</t>
  </si>
  <si>
    <t>10. КГАУЗ "Комсомольская стоматологическая поликлиника" МЗХК , 270232, 3107003</t>
  </si>
  <si>
    <t>геронтологические</t>
  </si>
  <si>
    <t>4.1. в т.ч (а)  Профилактический медицинский осмотр лиц старше 18 лет, проводимая мобильными медицинскими бригадами</t>
  </si>
  <si>
    <t>Электроэнцефалография (ЭЭГ) (ВМУ)</t>
  </si>
  <si>
    <t xml:space="preserve">Приложение №3
</t>
  </si>
  <si>
    <t>к Решению Комиссии   по разработке ТП ОМС от 27.06.2023 № 6</t>
  </si>
  <si>
    <t xml:space="preserve">к Решению Комиссии   по разработке ТП ОМС от 27.06.2023 № 6 </t>
  </si>
  <si>
    <t>к Решению Комиссии   по разработке ТП ОМС от 27.06.2023 №6</t>
  </si>
  <si>
    <t>5.7.3. Дети с сахарным диабетом 1 типа</t>
  </si>
  <si>
    <t>Рентгенография (ВМУ)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</si>
</sst>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  <numFmt numFmtId="175" formatCode="_-* #,##0.00000_р_._-;\-* #,##0.00000_р_._-;_-* &quot;-&quot;_р_._-;_-@_-"/>
    <numFmt numFmtId="176" formatCode="_-* #,##0.00_р_._-;\-* #,##0.00_р_._-;_-* &quot;-&quot;?_р_._-;_-@_-"/>
    <numFmt numFmtId="177" formatCode="#,##0.00_ ;\-#,##0.00\ 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7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43" applyNumberFormat="0" applyFont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0" fillId="0" borderId="0"/>
  </cellStyleXfs>
  <cellXfs count="805">
    <xf numFmtId="0" fontId="0" fillId="0" borderId="0" xfId="0"/>
    <xf numFmtId="0" fontId="7" fillId="0" borderId="7" xfId="2" applyFont="1" applyFill="1" applyBorder="1" applyAlignment="1">
      <alignment horizontal="left" wrapText="1" indent="1"/>
    </xf>
    <xf numFmtId="164" fontId="7" fillId="0" borderId="12" xfId="1" applyNumberFormat="1" applyFont="1" applyFill="1" applyBorder="1"/>
    <xf numFmtId="0" fontId="5" fillId="0" borderId="0" xfId="2" applyFont="1" applyFill="1"/>
    <xf numFmtId="0" fontId="21" fillId="0" borderId="1" xfId="2" applyFont="1" applyFill="1" applyBorder="1" applyAlignment="1">
      <alignment horizontal="center"/>
    </xf>
    <xf numFmtId="0" fontId="21" fillId="0" borderId="5" xfId="2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 vertical="top"/>
    </xf>
    <xf numFmtId="0" fontId="15" fillId="0" borderId="4" xfId="2" applyFont="1" applyFill="1" applyBorder="1" applyAlignment="1">
      <alignment horizontal="center" vertical="top"/>
    </xf>
    <xf numFmtId="0" fontId="7" fillId="0" borderId="4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/>
    </xf>
    <xf numFmtId="168" fontId="7" fillId="0" borderId="12" xfId="1" applyNumberFormat="1" applyFont="1" applyFill="1" applyBorder="1"/>
    <xf numFmtId="168" fontId="9" fillId="0" borderId="12" xfId="1" applyNumberFormat="1" applyFont="1" applyFill="1" applyBorder="1"/>
    <xf numFmtId="0" fontId="11" fillId="0" borderId="7" xfId="0" applyFont="1" applyFill="1" applyBorder="1" applyAlignment="1">
      <alignment horizontal="left" indent="1"/>
    </xf>
    <xf numFmtId="164" fontId="9" fillId="0" borderId="7" xfId="2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left" wrapText="1" indent="2"/>
    </xf>
    <xf numFmtId="0" fontId="7" fillId="0" borderId="7" xfId="0" applyFont="1" applyFill="1" applyBorder="1" applyAlignment="1">
      <alignment horizontal="left" wrapText="1" indent="2"/>
    </xf>
    <xf numFmtId="0" fontId="11" fillId="0" borderId="7" xfId="0" applyFont="1" applyFill="1" applyBorder="1" applyAlignment="1">
      <alignment horizontal="left" wrapText="1" indent="2"/>
    </xf>
    <xf numFmtId="164" fontId="7" fillId="0" borderId="7" xfId="2" applyNumberFormat="1" applyFont="1" applyFill="1" applyBorder="1" applyAlignment="1">
      <alignment horizontal="right"/>
    </xf>
    <xf numFmtId="0" fontId="7" fillId="0" borderId="7" xfId="0" applyFont="1" applyFill="1" applyBorder="1" applyAlignment="1">
      <alignment horizontal="left" vertical="top" wrapText="1" indent="2"/>
    </xf>
    <xf numFmtId="0" fontId="7" fillId="0" borderId="7" xfId="2" applyFont="1" applyFill="1" applyBorder="1" applyAlignment="1">
      <alignment horizontal="left" wrapText="1" indent="3"/>
    </xf>
    <xf numFmtId="0" fontId="19" fillId="0" borderId="7" xfId="2" applyFont="1" applyFill="1" applyBorder="1" applyAlignment="1">
      <alignment horizontal="left" wrapText="1" indent="3"/>
    </xf>
    <xf numFmtId="0" fontId="9" fillId="0" borderId="7" xfId="2" applyFont="1" applyFill="1" applyBorder="1" applyAlignment="1">
      <alignment horizontal="left" wrapText="1" indent="1"/>
    </xf>
    <xf numFmtId="0" fontId="9" fillId="0" borderId="10" xfId="2" applyFont="1" applyFill="1" applyBorder="1" applyAlignment="1">
      <alignment horizontal="left" indent="1"/>
    </xf>
    <xf numFmtId="0" fontId="34" fillId="0" borderId="7" xfId="2" applyFont="1" applyFill="1" applyBorder="1" applyAlignment="1">
      <alignment horizontal="left" wrapText="1" indent="1"/>
    </xf>
    <xf numFmtId="164" fontId="22" fillId="0" borderId="7" xfId="2" applyNumberFormat="1" applyFont="1" applyFill="1" applyBorder="1"/>
    <xf numFmtId="0" fontId="15" fillId="0" borderId="8" xfId="0" applyFont="1" applyFill="1" applyBorder="1" applyAlignment="1">
      <alignment horizontal="left" wrapText="1" indent="2"/>
    </xf>
    <xf numFmtId="0" fontId="9" fillId="0" borderId="8" xfId="2" applyFont="1" applyFill="1" applyBorder="1" applyAlignment="1">
      <alignment wrapText="1"/>
    </xf>
    <xf numFmtId="0" fontId="23" fillId="0" borderId="7" xfId="2" applyFont="1" applyFill="1" applyBorder="1" applyAlignment="1">
      <alignment horizontal="left" vertical="justify" indent="2"/>
    </xf>
    <xf numFmtId="168" fontId="9" fillId="0" borderId="7" xfId="1" applyNumberFormat="1" applyFont="1" applyFill="1" applyBorder="1"/>
    <xf numFmtId="164" fontId="9" fillId="0" borderId="12" xfId="1" applyNumberFormat="1" applyFont="1" applyFill="1" applyBorder="1"/>
    <xf numFmtId="0" fontId="19" fillId="0" borderId="7" xfId="2" applyFont="1" applyFill="1" applyBorder="1" applyAlignment="1">
      <alignment horizontal="left" wrapText="1" indent="1"/>
    </xf>
    <xf numFmtId="164" fontId="19" fillId="0" borderId="12" xfId="1" applyNumberFormat="1" applyFont="1" applyFill="1" applyBorder="1"/>
    <xf numFmtId="0" fontId="15" fillId="0" borderId="7" xfId="2" applyFont="1" applyFill="1" applyBorder="1" applyAlignment="1">
      <alignment horizontal="left" wrapText="1" indent="2"/>
    </xf>
    <xf numFmtId="0" fontId="19" fillId="0" borderId="7" xfId="0" applyFont="1" applyFill="1" applyBorder="1" applyAlignment="1">
      <alignment horizontal="left" indent="1"/>
    </xf>
    <xf numFmtId="168" fontId="19" fillId="0" borderId="7" xfId="1" applyNumberFormat="1" applyFont="1" applyFill="1" applyBorder="1"/>
    <xf numFmtId="0" fontId="15" fillId="0" borderId="7" xfId="0" applyFont="1" applyFill="1" applyBorder="1" applyAlignment="1">
      <alignment horizontal="left" wrapText="1" indent="2"/>
    </xf>
    <xf numFmtId="167" fontId="19" fillId="0" borderId="12" xfId="1" applyNumberFormat="1" applyFont="1" applyFill="1" applyBorder="1" applyAlignment="1">
      <alignment horizontal="center"/>
    </xf>
    <xf numFmtId="168" fontId="9" fillId="0" borderId="8" xfId="1" applyNumberFormat="1" applyFont="1" applyFill="1" applyBorder="1"/>
    <xf numFmtId="168" fontId="18" fillId="0" borderId="7" xfId="1" applyNumberFormat="1" applyFont="1" applyFill="1" applyBorder="1" applyAlignment="1">
      <alignment horizontal="center"/>
    </xf>
    <xf numFmtId="168" fontId="15" fillId="0" borderId="7" xfId="1" applyNumberFormat="1" applyFont="1" applyFill="1" applyBorder="1" applyAlignment="1">
      <alignment horizontal="center"/>
    </xf>
    <xf numFmtId="0" fontId="12" fillId="0" borderId="7" xfId="2" applyFont="1" applyFill="1" applyBorder="1" applyAlignment="1">
      <alignment horizontal="left" wrapText="1" indent="1"/>
    </xf>
    <xf numFmtId="164" fontId="9" fillId="0" borderId="12" xfId="2" applyNumberFormat="1" applyFont="1" applyFill="1" applyBorder="1" applyAlignment="1">
      <alignment horizontal="right"/>
    </xf>
    <xf numFmtId="0" fontId="7" fillId="0" borderId="7" xfId="2" applyFont="1" applyFill="1" applyBorder="1" applyAlignment="1">
      <alignment horizontal="right" wrapText="1" indent="3"/>
    </xf>
    <xf numFmtId="164" fontId="9" fillId="0" borderId="7" xfId="1" applyNumberFormat="1" applyFont="1" applyFill="1" applyBorder="1"/>
    <xf numFmtId="0" fontId="19" fillId="0" borderId="18" xfId="2" applyFont="1" applyFill="1" applyBorder="1" applyAlignment="1">
      <alignment horizontal="left" wrapText="1" indent="1"/>
    </xf>
    <xf numFmtId="168" fontId="7" fillId="0" borderId="7" xfId="1" applyNumberFormat="1" applyFont="1" applyFill="1" applyBorder="1"/>
    <xf numFmtId="0" fontId="7" fillId="0" borderId="7" xfId="2" applyFont="1" applyFill="1" applyBorder="1" applyAlignment="1">
      <alignment horizontal="left" indent="2"/>
    </xf>
    <xf numFmtId="166" fontId="7" fillId="0" borderId="7" xfId="2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4" fillId="0" borderId="0" xfId="2" applyFont="1" applyFill="1"/>
    <xf numFmtId="0" fontId="7" fillId="0" borderId="0" xfId="2" applyFont="1" applyFill="1" applyBorder="1"/>
    <xf numFmtId="0" fontId="9" fillId="0" borderId="0" xfId="2" applyFont="1" applyFill="1" applyBorder="1"/>
    <xf numFmtId="164" fontId="7" fillId="0" borderId="7" xfId="2" applyNumberFormat="1" applyFont="1" applyFill="1" applyBorder="1"/>
    <xf numFmtId="164" fontId="7" fillId="0" borderId="26" xfId="1" applyNumberFormat="1" applyFont="1" applyFill="1" applyBorder="1"/>
    <xf numFmtId="168" fontId="7" fillId="0" borderId="7" xfId="1" applyNumberFormat="1" applyFont="1" applyFill="1" applyBorder="1" applyAlignment="1">
      <alignment horizontal="center"/>
    </xf>
    <xf numFmtId="0" fontId="9" fillId="0" borderId="0" xfId="2" applyFont="1" applyFill="1"/>
    <xf numFmtId="168" fontId="7" fillId="0" borderId="21" xfId="1" applyNumberFormat="1" applyFont="1" applyFill="1" applyBorder="1" applyAlignment="1">
      <alignment horizontal="right"/>
    </xf>
    <xf numFmtId="0" fontId="9" fillId="0" borderId="7" xfId="2" applyFont="1" applyFill="1" applyBorder="1" applyAlignment="1">
      <alignment horizontal="left" wrapText="1" indent="3"/>
    </xf>
    <xf numFmtId="0" fontId="6" fillId="0" borderId="7" xfId="0" applyFont="1" applyFill="1" applyBorder="1" applyAlignment="1">
      <alignment horizontal="left" wrapText="1" indent="2"/>
    </xf>
    <xf numFmtId="168" fontId="9" fillId="0" borderId="7" xfId="1" applyNumberFormat="1" applyFont="1" applyFill="1" applyBorder="1" applyAlignment="1">
      <alignment horizontal="center"/>
    </xf>
    <xf numFmtId="168" fontId="7" fillId="0" borderId="21" xfId="1" applyNumberFormat="1" applyFont="1" applyFill="1" applyBorder="1" applyAlignment="1">
      <alignment horizontal="center"/>
    </xf>
    <xf numFmtId="168" fontId="11" fillId="0" borderId="7" xfId="1" applyNumberFormat="1" applyFont="1" applyFill="1" applyBorder="1" applyAlignment="1">
      <alignment horizontal="center"/>
    </xf>
    <xf numFmtId="168" fontId="7" fillId="0" borderId="7" xfId="1" applyNumberFormat="1" applyFont="1" applyFill="1" applyBorder="1" applyAlignment="1">
      <alignment horizontal="right"/>
    </xf>
    <xf numFmtId="164" fontId="9" fillId="0" borderId="7" xfId="2" applyNumberFormat="1" applyFont="1" applyFill="1" applyBorder="1"/>
    <xf numFmtId="0" fontId="7" fillId="0" borderId="5" xfId="2" applyFont="1" applyFill="1" applyBorder="1"/>
    <xf numFmtId="0" fontId="9" fillId="0" borderId="7" xfId="2" applyFont="1" applyFill="1" applyBorder="1" applyAlignment="1">
      <alignment wrapText="1"/>
    </xf>
    <xf numFmtId="0" fontId="7" fillId="0" borderId="7" xfId="2" applyFont="1" applyFill="1" applyBorder="1"/>
    <xf numFmtId="0" fontId="11" fillId="0" borderId="18" xfId="0" applyFont="1" applyFill="1" applyBorder="1" applyAlignment="1">
      <alignment horizontal="left" indent="1"/>
    </xf>
    <xf numFmtId="168" fontId="7" fillId="0" borderId="26" xfId="1" applyNumberFormat="1" applyFont="1" applyFill="1" applyBorder="1" applyAlignment="1">
      <alignment horizontal="center"/>
    </xf>
    <xf numFmtId="164" fontId="11" fillId="0" borderId="7" xfId="2" applyNumberFormat="1" applyFont="1" applyFill="1" applyBorder="1"/>
    <xf numFmtId="164" fontId="19" fillId="0" borderId="7" xfId="2" applyNumberFormat="1" applyFont="1" applyFill="1" applyBorder="1"/>
    <xf numFmtId="168" fontId="7" fillId="0" borderId="12" xfId="1" applyNumberFormat="1" applyFont="1" applyFill="1" applyBorder="1" applyAlignment="1">
      <alignment horizontal="center"/>
    </xf>
    <xf numFmtId="164" fontId="9" fillId="0" borderId="0" xfId="2" applyNumberFormat="1" applyFont="1" applyFill="1" applyBorder="1"/>
    <xf numFmtId="164" fontId="7" fillId="0" borderId="8" xfId="2" applyNumberFormat="1" applyFont="1" applyFill="1" applyBorder="1"/>
    <xf numFmtId="164" fontId="9" fillId="0" borderId="21" xfId="1" applyNumberFormat="1" applyFont="1" applyFill="1" applyBorder="1"/>
    <xf numFmtId="166" fontId="9" fillId="0" borderId="7" xfId="2" applyNumberFormat="1" applyFont="1" applyFill="1" applyBorder="1"/>
    <xf numFmtId="168" fontId="16" fillId="0" borderId="7" xfId="1" applyNumberFormat="1" applyFont="1" applyFill="1" applyBorder="1" applyAlignment="1">
      <alignment horizontal="center"/>
    </xf>
    <xf numFmtId="168" fontId="9" fillId="0" borderId="7" xfId="1" applyNumberFormat="1" applyFont="1" applyFill="1" applyBorder="1" applyAlignment="1">
      <alignment horizontal="right"/>
    </xf>
    <xf numFmtId="168" fontId="19" fillId="0" borderId="7" xfId="1" applyNumberFormat="1" applyFont="1" applyFill="1" applyBorder="1" applyAlignment="1">
      <alignment horizontal="center"/>
    </xf>
    <xf numFmtId="164" fontId="9" fillId="0" borderId="8" xfId="2" applyNumberFormat="1" applyFont="1" applyFill="1" applyBorder="1"/>
    <xf numFmtId="0" fontId="7" fillId="0" borderId="18" xfId="0" applyFont="1" applyFill="1" applyBorder="1" applyAlignment="1">
      <alignment horizontal="left" vertical="top" wrapText="1" indent="2"/>
    </xf>
    <xf numFmtId="0" fontId="7" fillId="0" borderId="0" xfId="2" applyFont="1" applyFill="1"/>
    <xf numFmtId="0" fontId="7" fillId="0" borderId="7" xfId="2" applyFont="1" applyFill="1" applyBorder="1" applyAlignment="1">
      <alignment horizontal="left" wrapText="1" indent="2"/>
    </xf>
    <xf numFmtId="0" fontId="9" fillId="0" borderId="12" xfId="2" applyFont="1" applyFill="1" applyBorder="1" applyAlignment="1">
      <alignment horizontal="right" wrapText="1" indent="3"/>
    </xf>
    <xf numFmtId="0" fontId="13" fillId="0" borderId="7" xfId="2" applyFont="1" applyFill="1" applyBorder="1" applyAlignment="1">
      <alignment horizontal="left" wrapText="1" indent="1"/>
    </xf>
    <xf numFmtId="170" fontId="13" fillId="0" borderId="21" xfId="1" applyNumberFormat="1" applyFont="1" applyFill="1" applyBorder="1" applyAlignment="1">
      <alignment horizontal="center"/>
    </xf>
    <xf numFmtId="168" fontId="9" fillId="0" borderId="12" xfId="1" applyNumberFormat="1" applyFont="1" applyFill="1" applyBorder="1" applyAlignment="1">
      <alignment horizontal="center"/>
    </xf>
    <xf numFmtId="164" fontId="7" fillId="0" borderId="8" xfId="1" applyNumberFormat="1" applyFont="1" applyFill="1" applyBorder="1"/>
    <xf numFmtId="0" fontId="7" fillId="0" borderId="7" xfId="2" applyFont="1" applyFill="1" applyBorder="1" applyAlignment="1">
      <alignment horizontal="center"/>
    </xf>
    <xf numFmtId="171" fontId="19" fillId="0" borderId="7" xfId="1" applyNumberFormat="1" applyFont="1" applyFill="1" applyBorder="1"/>
    <xf numFmtId="168" fontId="19" fillId="0" borderId="7" xfId="2" applyNumberFormat="1" applyFont="1" applyFill="1" applyBorder="1" applyAlignment="1">
      <alignment horizontal="center"/>
    </xf>
    <xf numFmtId="0" fontId="19" fillId="0" borderId="7" xfId="2" applyFont="1" applyFill="1" applyBorder="1" applyAlignment="1">
      <alignment horizontal="center"/>
    </xf>
    <xf numFmtId="173" fontId="19" fillId="0" borderId="7" xfId="2" applyNumberFormat="1" applyFont="1" applyFill="1" applyBorder="1" applyAlignment="1">
      <alignment horizontal="center"/>
    </xf>
    <xf numFmtId="0" fontId="11" fillId="0" borderId="7" xfId="2" applyFont="1" applyFill="1" applyBorder="1" applyAlignment="1">
      <alignment horizontal="left" indent="1"/>
    </xf>
    <xf numFmtId="169" fontId="7" fillId="0" borderId="7" xfId="2" applyNumberFormat="1" applyFont="1" applyFill="1" applyBorder="1"/>
    <xf numFmtId="0" fontId="9" fillId="0" borderId="7" xfId="2" applyFont="1" applyFill="1" applyBorder="1" applyAlignment="1">
      <alignment horizontal="left" indent="1"/>
    </xf>
    <xf numFmtId="173" fontId="9" fillId="0" borderId="7" xfId="2" applyNumberFormat="1" applyFont="1" applyFill="1" applyBorder="1" applyAlignment="1">
      <alignment horizontal="center"/>
    </xf>
    <xf numFmtId="0" fontId="9" fillId="0" borderId="7" xfId="2" applyFont="1" applyFill="1" applyBorder="1" applyAlignment="1">
      <alignment horizontal="center"/>
    </xf>
    <xf numFmtId="0" fontId="14" fillId="0" borderId="0" xfId="2" applyFont="1" applyFill="1"/>
    <xf numFmtId="0" fontId="7" fillId="0" borderId="7" xfId="0" applyFont="1" applyFill="1" applyBorder="1" applyAlignment="1">
      <alignment horizontal="left" indent="2"/>
    </xf>
    <xf numFmtId="0" fontId="25" fillId="0" borderId="7" xfId="2" applyFont="1" applyFill="1" applyBorder="1" applyAlignment="1">
      <alignment horizontal="left" wrapText="1" indent="2"/>
    </xf>
    <xf numFmtId="0" fontId="32" fillId="0" borderId="7" xfId="2" applyFont="1" applyFill="1" applyBorder="1" applyAlignment="1">
      <alignment horizontal="left" indent="2"/>
    </xf>
    <xf numFmtId="0" fontId="9" fillId="0" borderId="12" xfId="2" applyFont="1" applyFill="1" applyBorder="1" applyAlignment="1">
      <alignment horizontal="left" indent="2"/>
    </xf>
    <xf numFmtId="0" fontId="7" fillId="0" borderId="26" xfId="2" applyFont="1" applyFill="1" applyBorder="1" applyAlignment="1">
      <alignment horizontal="left" indent="2"/>
    </xf>
    <xf numFmtId="0" fontId="7" fillId="0" borderId="12" xfId="2" applyFont="1" applyFill="1" applyBorder="1" applyAlignment="1">
      <alignment horizontal="left" vertical="top" wrapText="1" indent="2"/>
    </xf>
    <xf numFmtId="0" fontId="9" fillId="0" borderId="4" xfId="2" applyFont="1" applyFill="1" applyBorder="1" applyAlignment="1">
      <alignment horizontal="left"/>
    </xf>
    <xf numFmtId="164" fontId="9" fillId="0" borderId="4" xfId="2" applyNumberFormat="1" applyFont="1" applyFill="1" applyBorder="1"/>
    <xf numFmtId="0" fontId="7" fillId="0" borderId="8" xfId="2" applyFont="1" applyFill="1" applyBorder="1" applyAlignment="1">
      <alignment horizontal="center"/>
    </xf>
    <xf numFmtId="0" fontId="7" fillId="0" borderId="26" xfId="2" applyFon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7" fillId="0" borderId="22" xfId="2" applyFont="1" applyFill="1" applyBorder="1" applyAlignment="1">
      <alignment horizontal="left" indent="2"/>
    </xf>
    <xf numFmtId="0" fontId="11" fillId="0" borderId="7" xfId="2" applyFont="1" applyFill="1" applyBorder="1" applyAlignment="1">
      <alignment horizontal="left" wrapText="1" indent="1"/>
    </xf>
    <xf numFmtId="171" fontId="7" fillId="0" borderId="7" xfId="1" applyNumberFormat="1" applyFont="1" applyFill="1" applyBorder="1"/>
    <xf numFmtId="168" fontId="7" fillId="0" borderId="20" xfId="1" applyNumberFormat="1" applyFont="1" applyFill="1" applyBorder="1" applyAlignment="1">
      <alignment horizontal="center"/>
    </xf>
    <xf numFmtId="3" fontId="9" fillId="0" borderId="7" xfId="2" applyNumberFormat="1" applyFont="1" applyFill="1" applyBorder="1" applyAlignment="1">
      <alignment horizontal="center"/>
    </xf>
    <xf numFmtId="168" fontId="22" fillId="0" borderId="7" xfId="1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top" wrapText="1" indent="2"/>
    </xf>
    <xf numFmtId="0" fontId="7" fillId="0" borderId="0" xfId="2" applyFont="1" applyFill="1" applyBorder="1" applyAlignment="1">
      <alignment horizontal="left" indent="2"/>
    </xf>
    <xf numFmtId="0" fontId="7" fillId="0" borderId="20" xfId="2" applyFont="1" applyFill="1" applyBorder="1"/>
    <xf numFmtId="0" fontId="29" fillId="0" borderId="7" xfId="0" applyFont="1" applyFill="1" applyBorder="1" applyAlignment="1">
      <alignment horizontal="left" indent="1"/>
    </xf>
    <xf numFmtId="0" fontId="7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 wrapText="1"/>
    </xf>
    <xf numFmtId="174" fontId="7" fillId="0" borderId="7" xfId="9" applyNumberFormat="1" applyFont="1" applyFill="1" applyBorder="1"/>
    <xf numFmtId="0" fontId="11" fillId="0" borderId="7" xfId="0" applyFont="1" applyFill="1" applyBorder="1" applyAlignment="1">
      <alignment horizontal="left" indent="2"/>
    </xf>
    <xf numFmtId="0" fontId="9" fillId="0" borderId="12" xfId="2" applyFont="1" applyFill="1" applyBorder="1" applyAlignment="1">
      <alignment wrapText="1"/>
    </xf>
    <xf numFmtId="164" fontId="9" fillId="0" borderId="15" xfId="2" applyNumberFormat="1" applyFont="1" applyFill="1" applyBorder="1"/>
    <xf numFmtId="0" fontId="7" fillId="0" borderId="6" xfId="2" applyFont="1" applyFill="1" applyBorder="1" applyAlignment="1">
      <alignment horizontal="left" vertical="top" wrapText="1" indent="2"/>
    </xf>
    <xf numFmtId="0" fontId="7" fillId="0" borderId="25" xfId="2" applyFont="1" applyFill="1" applyBorder="1" applyAlignment="1">
      <alignment horizontal="left" indent="2"/>
    </xf>
    <xf numFmtId="0" fontId="11" fillId="0" borderId="7" xfId="0" applyFont="1" applyFill="1" applyBorder="1" applyAlignment="1">
      <alignment horizontal="left" wrapText="1" indent="1"/>
    </xf>
    <xf numFmtId="0" fontId="9" fillId="0" borderId="8" xfId="2" applyFont="1" applyFill="1" applyBorder="1" applyAlignment="1">
      <alignment horizontal="center" wrapText="1"/>
    </xf>
    <xf numFmtId="3" fontId="7" fillId="0" borderId="12" xfId="1" applyNumberFormat="1" applyFont="1" applyFill="1" applyBorder="1"/>
    <xf numFmtId="0" fontId="15" fillId="0" borderId="0" xfId="2" applyFont="1" applyFill="1"/>
    <xf numFmtId="0" fontId="15" fillId="0" borderId="0" xfId="2" applyFont="1" applyFill="1" applyBorder="1" applyAlignment="1">
      <alignment wrapText="1"/>
    </xf>
    <xf numFmtId="0" fontId="15" fillId="0" borderId="0" xfId="2" applyFont="1" applyFill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1" fontId="7" fillId="0" borderId="4" xfId="2" applyNumberFormat="1" applyFont="1" applyFill="1" applyBorder="1" applyAlignment="1">
      <alignment horizontal="center"/>
    </xf>
    <xf numFmtId="49" fontId="7" fillId="0" borderId="53" xfId="0" applyNumberFormat="1" applyFont="1" applyFill="1" applyBorder="1" applyAlignment="1">
      <alignment horizontal="right"/>
    </xf>
    <xf numFmtId="0" fontId="17" fillId="0" borderId="7" xfId="2" applyFont="1" applyFill="1" applyBorder="1" applyAlignment="1">
      <alignment horizontal="left" indent="1"/>
    </xf>
    <xf numFmtId="0" fontId="15" fillId="0" borderId="7" xfId="2" applyFont="1" applyFill="1" applyBorder="1" applyAlignment="1">
      <alignment horizontal="center"/>
    </xf>
    <xf numFmtId="164" fontId="15" fillId="0" borderId="7" xfId="2" applyNumberFormat="1" applyFont="1" applyFill="1" applyBorder="1"/>
    <xf numFmtId="169" fontId="15" fillId="0" borderId="7" xfId="2" applyNumberFormat="1" applyFont="1" applyFill="1" applyBorder="1"/>
    <xf numFmtId="0" fontId="15" fillId="0" borderId="7" xfId="2" applyFont="1" applyFill="1" applyBorder="1" applyAlignment="1">
      <alignment horizontal="left" indent="2"/>
    </xf>
    <xf numFmtId="3" fontId="15" fillId="0" borderId="0" xfId="2" applyNumberFormat="1" applyFont="1" applyFill="1"/>
    <xf numFmtId="0" fontId="16" fillId="0" borderId="7" xfId="2" applyFont="1" applyFill="1" applyBorder="1" applyAlignment="1">
      <alignment horizontal="left" wrapText="1" indent="1" shrinkToFit="1"/>
    </xf>
    <xf numFmtId="164" fontId="16" fillId="0" borderId="7" xfId="2" applyNumberFormat="1" applyFont="1" applyFill="1" applyBorder="1"/>
    <xf numFmtId="0" fontId="16" fillId="0" borderId="0" xfId="2" applyFont="1" applyFill="1"/>
    <xf numFmtId="3" fontId="9" fillId="0" borderId="12" xfId="1" applyNumberFormat="1" applyFont="1" applyFill="1" applyBorder="1"/>
    <xf numFmtId="0" fontId="22" fillId="0" borderId="18" xfId="0" applyFont="1" applyFill="1" applyBorder="1" applyAlignment="1">
      <alignment horizontal="left" wrapText="1" indent="2"/>
    </xf>
    <xf numFmtId="0" fontId="22" fillId="0" borderId="7" xfId="0" applyFont="1" applyFill="1" applyBorder="1" applyAlignment="1">
      <alignment horizontal="left" wrapText="1" indent="2"/>
    </xf>
    <xf numFmtId="0" fontId="29" fillId="0" borderId="7" xfId="2" applyFont="1" applyFill="1" applyBorder="1" applyAlignment="1">
      <alignment horizontal="left" wrapText="1" indent="1"/>
    </xf>
    <xf numFmtId="169" fontId="22" fillId="0" borderId="7" xfId="2" applyNumberFormat="1" applyFont="1" applyFill="1" applyBorder="1" applyAlignment="1">
      <alignment horizontal="center"/>
    </xf>
    <xf numFmtId="167" fontId="6" fillId="0" borderId="12" xfId="1" applyNumberFormat="1" applyFont="1" applyFill="1" applyBorder="1" applyAlignment="1">
      <alignment horizontal="center"/>
    </xf>
    <xf numFmtId="0" fontId="20" fillId="0" borderId="0" xfId="2" applyFont="1" applyFill="1"/>
    <xf numFmtId="164" fontId="22" fillId="0" borderId="8" xfId="2" applyNumberFormat="1" applyFont="1" applyFill="1" applyBorder="1"/>
    <xf numFmtId="0" fontId="27" fillId="0" borderId="7" xfId="2" applyFont="1" applyFill="1" applyBorder="1" applyAlignment="1">
      <alignment horizontal="left" wrapText="1" indent="1"/>
    </xf>
    <xf numFmtId="3" fontId="19" fillId="0" borderId="12" xfId="1" applyNumberFormat="1" applyFont="1" applyFill="1" applyBorder="1"/>
    <xf numFmtId="168" fontId="19" fillId="0" borderId="12" xfId="1" applyNumberFormat="1" applyFont="1" applyFill="1" applyBorder="1"/>
    <xf numFmtId="0" fontId="15" fillId="0" borderId="8" xfId="2" applyFont="1" applyFill="1" applyBorder="1"/>
    <xf numFmtId="167" fontId="9" fillId="0" borderId="12" xfId="1" applyNumberFormat="1" applyFont="1" applyFill="1" applyBorder="1" applyAlignment="1">
      <alignment horizontal="center"/>
    </xf>
    <xf numFmtId="164" fontId="16" fillId="0" borderId="8" xfId="2" applyNumberFormat="1" applyFont="1" applyFill="1" applyBorder="1"/>
    <xf numFmtId="3" fontId="11" fillId="0" borderId="7" xfId="1" applyNumberFormat="1" applyFont="1" applyFill="1" applyBorder="1"/>
    <xf numFmtId="167" fontId="9" fillId="0" borderId="7" xfId="1" applyNumberFormat="1" applyFont="1" applyFill="1" applyBorder="1" applyAlignment="1">
      <alignment horizontal="center"/>
    </xf>
    <xf numFmtId="0" fontId="25" fillId="0" borderId="7" xfId="2" applyFont="1" applyFill="1" applyBorder="1" applyAlignment="1">
      <alignment horizontal="left" wrapText="1" indent="1" shrinkToFit="1"/>
    </xf>
    <xf numFmtId="164" fontId="16" fillId="0" borderId="14" xfId="2" applyNumberFormat="1" applyFont="1" applyFill="1" applyBorder="1"/>
    <xf numFmtId="3" fontId="19" fillId="0" borderId="8" xfId="1" applyNumberFormat="1" applyFont="1" applyFill="1" applyBorder="1"/>
    <xf numFmtId="167" fontId="9" fillId="0" borderId="5" xfId="1" applyNumberFormat="1" applyFont="1" applyFill="1" applyBorder="1" applyAlignment="1">
      <alignment horizontal="center"/>
    </xf>
    <xf numFmtId="168" fontId="9" fillId="0" borderId="0" xfId="1" applyNumberFormat="1" applyFont="1" applyFill="1" applyBorder="1"/>
    <xf numFmtId="168" fontId="9" fillId="0" borderId="5" xfId="1" applyNumberFormat="1" applyFont="1" applyFill="1" applyBorder="1"/>
    <xf numFmtId="0" fontId="16" fillId="0" borderId="2" xfId="2" applyFont="1" applyFill="1" applyBorder="1" applyAlignment="1">
      <alignment horizontal="left"/>
    </xf>
    <xf numFmtId="164" fontId="16" fillId="0" borderId="4" xfId="2" applyNumberFormat="1" applyFont="1" applyFill="1" applyBorder="1"/>
    <xf numFmtId="3" fontId="16" fillId="0" borderId="3" xfId="1" applyNumberFormat="1" applyFont="1" applyFill="1" applyBorder="1"/>
    <xf numFmtId="168" fontId="16" fillId="0" borderId="4" xfId="1" applyNumberFormat="1" applyFont="1" applyFill="1" applyBorder="1"/>
    <xf numFmtId="168" fontId="16" fillId="0" borderId="3" xfId="1" applyNumberFormat="1" applyFont="1" applyFill="1" applyBorder="1"/>
    <xf numFmtId="0" fontId="15" fillId="0" borderId="0" xfId="2" applyFont="1" applyFill="1" applyBorder="1"/>
    <xf numFmtId="0" fontId="15" fillId="0" borderId="5" xfId="2" applyFont="1" applyFill="1" applyBorder="1"/>
    <xf numFmtId="164" fontId="15" fillId="0" borderId="5" xfId="2" applyNumberFormat="1" applyFont="1" applyFill="1" applyBorder="1"/>
    <xf numFmtId="0" fontId="15" fillId="0" borderId="7" xfId="2" applyFont="1" applyFill="1" applyBorder="1" applyAlignment="1">
      <alignment horizontal="left" vertical="justify" indent="2"/>
    </xf>
    <xf numFmtId="169" fontId="15" fillId="0" borderId="12" xfId="2" applyNumberFormat="1" applyFont="1" applyFill="1" applyBorder="1"/>
    <xf numFmtId="170" fontId="9" fillId="0" borderId="12" xfId="1" applyNumberFormat="1" applyFont="1" applyFill="1" applyBorder="1"/>
    <xf numFmtId="0" fontId="25" fillId="0" borderId="7" xfId="0" applyFont="1" applyFill="1" applyBorder="1" applyAlignment="1">
      <alignment horizontal="left" indent="2"/>
    </xf>
    <xf numFmtId="0" fontId="15" fillId="0" borderId="7" xfId="0" applyFont="1" applyFill="1" applyBorder="1" applyAlignment="1">
      <alignment horizontal="left" indent="2"/>
    </xf>
    <xf numFmtId="169" fontId="25" fillId="0" borderId="7" xfId="2" applyNumberFormat="1" applyFont="1" applyFill="1" applyBorder="1" applyAlignment="1">
      <alignment horizontal="center"/>
    </xf>
    <xf numFmtId="0" fontId="16" fillId="0" borderId="0" xfId="2" applyFont="1" applyFill="1" applyBorder="1"/>
    <xf numFmtId="3" fontId="9" fillId="0" borderId="5" xfId="1" applyNumberFormat="1" applyFont="1" applyFill="1" applyBorder="1"/>
    <xf numFmtId="169" fontId="18" fillId="0" borderId="8" xfId="2" applyNumberFormat="1" applyFont="1" applyFill="1" applyBorder="1" applyAlignment="1">
      <alignment horizontal="center"/>
    </xf>
    <xf numFmtId="0" fontId="9" fillId="0" borderId="32" xfId="2" applyFont="1" applyFill="1" applyBorder="1" applyAlignment="1">
      <alignment wrapText="1"/>
    </xf>
    <xf numFmtId="164" fontId="16" fillId="0" borderId="12" xfId="2" applyNumberFormat="1" applyFont="1" applyFill="1" applyBorder="1"/>
    <xf numFmtId="169" fontId="18" fillId="0" borderId="0" xfId="2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wrapText="1"/>
    </xf>
    <xf numFmtId="3" fontId="7" fillId="0" borderId="7" xfId="12" applyNumberFormat="1" applyFont="1" applyFill="1" applyBorder="1"/>
    <xf numFmtId="169" fontId="18" fillId="0" borderId="7" xfId="2" applyNumberFormat="1" applyFont="1" applyFill="1" applyBorder="1" applyAlignment="1">
      <alignment horizontal="center"/>
    </xf>
    <xf numFmtId="168" fontId="9" fillId="0" borderId="22" xfId="1" applyNumberFormat="1" applyFont="1" applyFill="1" applyBorder="1"/>
    <xf numFmtId="164" fontId="16" fillId="0" borderId="5" xfId="2" applyNumberFormat="1" applyFont="1" applyFill="1" applyBorder="1"/>
    <xf numFmtId="3" fontId="7" fillId="0" borderId="7" xfId="1" applyNumberFormat="1" applyFont="1" applyFill="1" applyBorder="1"/>
    <xf numFmtId="3" fontId="15" fillId="0" borderId="4" xfId="1" applyNumberFormat="1" applyFont="1" applyFill="1" applyBorder="1"/>
    <xf numFmtId="168" fontId="15" fillId="0" borderId="3" xfId="1" applyNumberFormat="1" applyFont="1" applyFill="1" applyBorder="1"/>
    <xf numFmtId="168" fontId="15" fillId="0" borderId="4" xfId="1" applyNumberFormat="1" applyFont="1" applyFill="1" applyBorder="1"/>
    <xf numFmtId="168" fontId="15" fillId="0" borderId="15" xfId="1" applyNumberFormat="1" applyFont="1" applyFill="1" applyBorder="1"/>
    <xf numFmtId="0" fontId="28" fillId="0" borderId="5" xfId="2" applyFont="1" applyFill="1" applyBorder="1"/>
    <xf numFmtId="164" fontId="16" fillId="0" borderId="7" xfId="6" applyNumberFormat="1" applyFont="1" applyFill="1" applyBorder="1"/>
    <xf numFmtId="164" fontId="15" fillId="0" borderId="8" xfId="2" applyNumberFormat="1" applyFont="1" applyFill="1" applyBorder="1"/>
    <xf numFmtId="167" fontId="34" fillId="0" borderId="7" xfId="1" applyNumberFormat="1" applyFont="1" applyFill="1" applyBorder="1" applyAlignment="1">
      <alignment horizontal="center"/>
    </xf>
    <xf numFmtId="167" fontId="34" fillId="0" borderId="12" xfId="1" applyNumberFormat="1" applyFont="1" applyFill="1" applyBorder="1" applyAlignment="1">
      <alignment horizontal="center"/>
    </xf>
    <xf numFmtId="0" fontId="7" fillId="0" borderId="8" xfId="2" applyFont="1" applyFill="1" applyBorder="1" applyAlignment="1">
      <alignment wrapText="1"/>
    </xf>
    <xf numFmtId="0" fontId="15" fillId="0" borderId="7" xfId="2" applyFont="1" applyFill="1" applyBorder="1"/>
    <xf numFmtId="3" fontId="16" fillId="0" borderId="4" xfId="1" applyNumberFormat="1" applyFont="1" applyFill="1" applyBorder="1"/>
    <xf numFmtId="168" fontId="16" fillId="0" borderId="15" xfId="1" applyNumberFormat="1" applyFont="1" applyFill="1" applyBorder="1"/>
    <xf numFmtId="169" fontId="18" fillId="0" borderId="12" xfId="2" applyNumberFormat="1" applyFont="1" applyFill="1" applyBorder="1"/>
    <xf numFmtId="0" fontId="34" fillId="0" borderId="7" xfId="2" applyFont="1" applyFill="1" applyBorder="1" applyAlignment="1">
      <alignment horizontal="left" wrapText="1" indent="3"/>
    </xf>
    <xf numFmtId="0" fontId="15" fillId="0" borderId="7" xfId="0" applyFont="1" applyFill="1" applyBorder="1" applyAlignment="1">
      <alignment horizontal="left" vertical="top" wrapText="1" indent="2"/>
    </xf>
    <xf numFmtId="0" fontId="7" fillId="0" borderId="18" xfId="2" applyFont="1" applyFill="1" applyBorder="1" applyAlignment="1">
      <alignment horizontal="left" vertical="top" wrapText="1" indent="2"/>
    </xf>
    <xf numFmtId="0" fontId="7" fillId="0" borderId="7" xfId="2" applyFont="1" applyFill="1" applyBorder="1" applyAlignment="1">
      <alignment horizontal="left" vertical="top" wrapText="1" indent="2"/>
    </xf>
    <xf numFmtId="0" fontId="15" fillId="0" borderId="18" xfId="0" applyFont="1" applyFill="1" applyBorder="1" applyAlignment="1">
      <alignment horizontal="left" wrapText="1" indent="2"/>
    </xf>
    <xf numFmtId="167" fontId="7" fillId="0" borderId="12" xfId="1" applyNumberFormat="1" applyFont="1" applyFill="1" applyBorder="1" applyAlignment="1">
      <alignment horizontal="center"/>
    </xf>
    <xf numFmtId="167" fontId="11" fillId="0" borderId="12" xfId="1" applyNumberFormat="1" applyFont="1" applyFill="1" applyBorder="1" applyAlignment="1">
      <alignment horizontal="center"/>
    </xf>
    <xf numFmtId="2" fontId="7" fillId="0" borderId="62" xfId="22" applyNumberFormat="1" applyFont="1" applyFill="1" applyBorder="1" applyAlignment="1">
      <alignment wrapText="1"/>
    </xf>
    <xf numFmtId="3" fontId="9" fillId="0" borderId="7" xfId="1" applyNumberFormat="1" applyFont="1" applyFill="1" applyBorder="1"/>
    <xf numFmtId="167" fontId="6" fillId="0" borderId="7" xfId="1" applyNumberFormat="1" applyFont="1" applyFill="1" applyBorder="1" applyAlignment="1">
      <alignment horizontal="center"/>
    </xf>
    <xf numFmtId="2" fontId="7" fillId="0" borderId="63" xfId="22" applyNumberFormat="1" applyFont="1" applyFill="1" applyBorder="1" applyAlignment="1">
      <alignment wrapText="1"/>
    </xf>
    <xf numFmtId="2" fontId="7" fillId="0" borderId="55" xfId="22" applyNumberFormat="1" applyFont="1" applyFill="1" applyBorder="1" applyAlignment="1">
      <alignment wrapText="1"/>
    </xf>
    <xf numFmtId="0" fontId="9" fillId="0" borderId="5" xfId="2" applyFont="1" applyFill="1" applyBorder="1" applyAlignment="1">
      <alignment horizontal="center" wrapText="1"/>
    </xf>
    <xf numFmtId="0" fontId="16" fillId="0" borderId="5" xfId="2" applyFont="1" applyFill="1" applyBorder="1" applyAlignment="1">
      <alignment horizontal="left"/>
    </xf>
    <xf numFmtId="169" fontId="15" fillId="0" borderId="7" xfId="2" applyNumberFormat="1" applyFont="1" applyFill="1" applyBorder="1" applyAlignment="1">
      <alignment horizontal="center"/>
    </xf>
    <xf numFmtId="164" fontId="18" fillId="0" borderId="7" xfId="2" applyNumberFormat="1" applyFont="1" applyFill="1" applyBorder="1" applyAlignment="1">
      <alignment horizontal="center"/>
    </xf>
    <xf numFmtId="0" fontId="15" fillId="0" borderId="18" xfId="2" applyFont="1" applyFill="1" applyBorder="1" applyAlignment="1">
      <alignment horizontal="left" wrapText="1" indent="2"/>
    </xf>
    <xf numFmtId="3" fontId="15" fillId="0" borderId="7" xfId="1" applyNumberFormat="1" applyFont="1" applyFill="1" applyBorder="1" applyAlignment="1">
      <alignment horizontal="center"/>
    </xf>
    <xf numFmtId="0" fontId="15" fillId="0" borderId="12" xfId="2" applyFont="1" applyFill="1" applyBorder="1" applyAlignment="1">
      <alignment horizontal="center"/>
    </xf>
    <xf numFmtId="168" fontId="15" fillId="0" borderId="12" xfId="1" applyNumberFormat="1" applyFont="1" applyFill="1" applyBorder="1" applyAlignment="1">
      <alignment horizontal="center"/>
    </xf>
    <xf numFmtId="169" fontId="22" fillId="0" borderId="7" xfId="2" applyNumberFormat="1" applyFont="1" applyFill="1" applyBorder="1"/>
    <xf numFmtId="164" fontId="18" fillId="0" borderId="7" xfId="2" applyNumberFormat="1" applyFont="1" applyFill="1" applyBorder="1"/>
    <xf numFmtId="169" fontId="22" fillId="0" borderId="12" xfId="2" applyNumberFormat="1" applyFont="1" applyFill="1" applyBorder="1"/>
    <xf numFmtId="3" fontId="26" fillId="0" borderId="7" xfId="1" applyNumberFormat="1" applyFont="1" applyFill="1" applyBorder="1" applyAlignment="1">
      <alignment horizontal="center"/>
    </xf>
    <xf numFmtId="168" fontId="26" fillId="0" borderId="7" xfId="1" applyNumberFormat="1" applyFont="1" applyFill="1" applyBorder="1" applyAlignment="1">
      <alignment horizontal="center"/>
    </xf>
    <xf numFmtId="164" fontId="18" fillId="0" borderId="5" xfId="2" applyNumberFormat="1" applyFont="1" applyFill="1" applyBorder="1"/>
    <xf numFmtId="167" fontId="6" fillId="0" borderId="5" xfId="1" applyNumberFormat="1" applyFont="1" applyFill="1" applyBorder="1" applyAlignment="1">
      <alignment horizontal="center"/>
    </xf>
    <xf numFmtId="168" fontId="18" fillId="0" borderId="8" xfId="1" applyNumberFormat="1" applyFont="1" applyFill="1" applyBorder="1" applyAlignment="1">
      <alignment horizontal="center"/>
    </xf>
    <xf numFmtId="3" fontId="18" fillId="0" borderId="12" xfId="1" applyNumberFormat="1" applyFont="1" applyFill="1" applyBorder="1" applyAlignment="1">
      <alignment horizontal="center"/>
    </xf>
    <xf numFmtId="167" fontId="6" fillId="0" borderId="0" xfId="1" applyNumberFormat="1" applyFont="1" applyFill="1" applyBorder="1" applyAlignment="1">
      <alignment horizontal="center"/>
    </xf>
    <xf numFmtId="168" fontId="18" fillId="0" borderId="12" xfId="1" applyNumberFormat="1" applyFont="1" applyFill="1" applyBorder="1" applyAlignment="1">
      <alignment horizontal="center"/>
    </xf>
    <xf numFmtId="168" fontId="18" fillId="0" borderId="22" xfId="1" applyNumberFormat="1" applyFont="1" applyFill="1" applyBorder="1" applyAlignment="1">
      <alignment horizontal="center"/>
    </xf>
    <xf numFmtId="3" fontId="22" fillId="0" borderId="7" xfId="2" applyNumberFormat="1" applyFont="1" applyFill="1" applyBorder="1"/>
    <xf numFmtId="0" fontId="7" fillId="0" borderId="7" xfId="0" applyFont="1" applyFill="1" applyBorder="1" applyAlignment="1">
      <alignment horizontal="right" wrapText="1" indent="2"/>
    </xf>
    <xf numFmtId="3" fontId="18" fillId="0" borderId="7" xfId="1" applyNumberFormat="1" applyFont="1" applyFill="1" applyBorder="1" applyAlignment="1">
      <alignment horizontal="right"/>
    </xf>
    <xf numFmtId="3" fontId="15" fillId="0" borderId="7" xfId="1" applyNumberFormat="1" applyFont="1" applyFill="1" applyBorder="1" applyAlignment="1">
      <alignment horizontal="right"/>
    </xf>
    <xf numFmtId="3" fontId="22" fillId="0" borderId="7" xfId="2" applyNumberFormat="1" applyFont="1" applyFill="1" applyBorder="1" applyAlignment="1">
      <alignment horizontal="right"/>
    </xf>
    <xf numFmtId="168" fontId="22" fillId="0" borderId="7" xfId="2" applyNumberFormat="1" applyFont="1" applyFill="1" applyBorder="1"/>
    <xf numFmtId="3" fontId="26" fillId="0" borderId="7" xfId="1" applyNumberFormat="1" applyFont="1" applyFill="1" applyBorder="1" applyAlignment="1">
      <alignment horizontal="right"/>
    </xf>
    <xf numFmtId="0" fontId="16" fillId="0" borderId="4" xfId="2" applyFont="1" applyFill="1" applyBorder="1" applyAlignment="1">
      <alignment horizontal="left"/>
    </xf>
    <xf numFmtId="164" fontId="22" fillId="0" borderId="4" xfId="2" applyNumberFormat="1" applyFont="1" applyFill="1" applyBorder="1"/>
    <xf numFmtId="3" fontId="22" fillId="0" borderId="4" xfId="2" applyNumberFormat="1" applyFont="1" applyFill="1" applyBorder="1" applyAlignment="1">
      <alignment horizontal="right"/>
    </xf>
    <xf numFmtId="164" fontId="16" fillId="0" borderId="1" xfId="2" applyNumberFormat="1" applyFont="1" applyFill="1" applyBorder="1"/>
    <xf numFmtId="3" fontId="15" fillId="0" borderId="1" xfId="1" applyNumberFormat="1" applyFont="1" applyFill="1" applyBorder="1" applyAlignment="1">
      <alignment horizontal="right"/>
    </xf>
    <xf numFmtId="168" fontId="15" fillId="0" borderId="1" xfId="1" applyNumberFormat="1" applyFont="1" applyFill="1" applyBorder="1" applyAlignment="1">
      <alignment horizontal="center"/>
    </xf>
    <xf numFmtId="0" fontId="11" fillId="0" borderId="12" xfId="0" applyFont="1" applyFill="1" applyBorder="1" applyAlignment="1">
      <alignment horizontal="left" indent="1"/>
    </xf>
    <xf numFmtId="3" fontId="7" fillId="0" borderId="12" xfId="1" applyNumberFormat="1" applyFont="1" applyFill="1" applyBorder="1" applyAlignment="1">
      <alignment horizontal="right"/>
    </xf>
    <xf numFmtId="3" fontId="9" fillId="0" borderId="12" xfId="1" applyNumberFormat="1" applyFont="1" applyFill="1" applyBorder="1" applyAlignment="1">
      <alignment horizontal="right"/>
    </xf>
    <xf numFmtId="167" fontId="26" fillId="0" borderId="7" xfId="1" applyNumberFormat="1" applyFont="1" applyFill="1" applyBorder="1" applyAlignment="1">
      <alignment horizontal="center"/>
    </xf>
    <xf numFmtId="3" fontId="18" fillId="0" borderId="8" xfId="1" applyNumberFormat="1" applyFont="1" applyFill="1" applyBorder="1" applyAlignment="1">
      <alignment horizontal="right"/>
    </xf>
    <xf numFmtId="3" fontId="16" fillId="0" borderId="3" xfId="1" applyNumberFormat="1" applyFont="1" applyFill="1" applyBorder="1" applyAlignment="1">
      <alignment horizontal="right"/>
    </xf>
    <xf numFmtId="0" fontId="16" fillId="0" borderId="45" xfId="2" applyFont="1" applyFill="1" applyBorder="1" applyAlignment="1">
      <alignment horizontal="left"/>
    </xf>
    <xf numFmtId="164" fontId="16" fillId="0" borderId="34" xfId="2" applyNumberFormat="1" applyFont="1" applyFill="1" applyBorder="1"/>
    <xf numFmtId="3" fontId="16" fillId="0" borderId="34" xfId="1" applyNumberFormat="1" applyFont="1" applyFill="1" applyBorder="1" applyAlignment="1">
      <alignment horizontal="right"/>
    </xf>
    <xf numFmtId="168" fontId="16" fillId="0" borderId="34" xfId="1" applyNumberFormat="1" applyFont="1" applyFill="1" applyBorder="1"/>
    <xf numFmtId="0" fontId="16" fillId="0" borderId="1" xfId="2" applyFont="1" applyFill="1" applyBorder="1" applyAlignment="1">
      <alignment horizontal="left"/>
    </xf>
    <xf numFmtId="0" fontId="19" fillId="0" borderId="7" xfId="0" applyFont="1" applyFill="1" applyBorder="1" applyAlignment="1">
      <alignment horizontal="left" wrapText="1" indent="2"/>
    </xf>
    <xf numFmtId="164" fontId="9" fillId="0" borderId="8" xfId="2" applyNumberFormat="1" applyFont="1" applyFill="1" applyBorder="1" applyAlignment="1">
      <alignment horizontal="right"/>
    </xf>
    <xf numFmtId="168" fontId="15" fillId="0" borderId="5" xfId="1" applyNumberFormat="1" applyFont="1" applyFill="1" applyBorder="1" applyAlignment="1">
      <alignment horizontal="center"/>
    </xf>
    <xf numFmtId="3" fontId="9" fillId="0" borderId="8" xfId="1" applyNumberFormat="1" applyFont="1" applyFill="1" applyBorder="1" applyAlignment="1">
      <alignment horizontal="right"/>
    </xf>
    <xf numFmtId="168" fontId="15" fillId="0" borderId="8" xfId="1" applyNumberFormat="1" applyFont="1" applyFill="1" applyBorder="1" applyAlignment="1">
      <alignment horizontal="center"/>
    </xf>
    <xf numFmtId="3" fontId="16" fillId="0" borderId="4" xfId="1" applyNumberFormat="1" applyFont="1" applyFill="1" applyBorder="1" applyAlignment="1">
      <alignment horizontal="right"/>
    </xf>
    <xf numFmtId="49" fontId="7" fillId="0" borderId="54" xfId="0" applyNumberFormat="1" applyFont="1" applyFill="1" applyBorder="1" applyAlignment="1">
      <alignment horizontal="right"/>
    </xf>
    <xf numFmtId="3" fontId="15" fillId="0" borderId="12" xfId="1" applyNumberFormat="1" applyFont="1" applyFill="1" applyBorder="1" applyAlignment="1">
      <alignment horizontal="right"/>
    </xf>
    <xf numFmtId="3" fontId="9" fillId="0" borderId="5" xfId="1" applyNumberFormat="1" applyFont="1" applyFill="1" applyBorder="1" applyAlignment="1">
      <alignment horizontal="right"/>
    </xf>
    <xf numFmtId="168" fontId="16" fillId="0" borderId="6" xfId="1" applyNumberFormat="1" applyFont="1" applyFill="1" applyBorder="1"/>
    <xf numFmtId="0" fontId="16" fillId="0" borderId="5" xfId="2" applyFont="1" applyFill="1" applyBorder="1"/>
    <xf numFmtId="173" fontId="22" fillId="0" borderId="7" xfId="1" applyNumberFormat="1" applyFont="1" applyFill="1" applyBorder="1" applyAlignment="1">
      <alignment horizontal="center"/>
    </xf>
    <xf numFmtId="0" fontId="16" fillId="0" borderId="7" xfId="2" applyFont="1" applyFill="1" applyBorder="1" applyAlignment="1">
      <alignment horizontal="left" wrapText="1" indent="1"/>
    </xf>
    <xf numFmtId="164" fontId="16" fillId="0" borderId="12" xfId="6" applyNumberFormat="1" applyFont="1" applyFill="1" applyBorder="1"/>
    <xf numFmtId="3" fontId="18" fillId="0" borderId="12" xfId="1" applyNumberFormat="1" applyFont="1" applyFill="1" applyBorder="1" applyAlignment="1">
      <alignment horizontal="right"/>
    </xf>
    <xf numFmtId="3" fontId="15" fillId="0" borderId="8" xfId="2" applyNumberFormat="1" applyFont="1" applyFill="1" applyBorder="1" applyAlignment="1">
      <alignment horizontal="right"/>
    </xf>
    <xf numFmtId="3" fontId="18" fillId="0" borderId="8" xfId="2" applyNumberFormat="1" applyFont="1" applyFill="1" applyBorder="1" applyAlignment="1">
      <alignment horizontal="right"/>
    </xf>
    <xf numFmtId="3" fontId="15" fillId="0" borderId="12" xfId="1" applyNumberFormat="1" applyFont="1" applyFill="1" applyBorder="1" applyAlignment="1">
      <alignment horizontal="center"/>
    </xf>
    <xf numFmtId="168" fontId="15" fillId="0" borderId="7" xfId="1" applyNumberFormat="1" applyFont="1" applyFill="1" applyBorder="1"/>
    <xf numFmtId="167" fontId="22" fillId="0" borderId="7" xfId="2" applyNumberFormat="1" applyFont="1" applyFill="1" applyBorder="1" applyAlignment="1">
      <alignment horizontal="center"/>
    </xf>
    <xf numFmtId="3" fontId="18" fillId="0" borderId="7" xfId="1" applyNumberFormat="1" applyFont="1" applyFill="1" applyBorder="1"/>
    <xf numFmtId="168" fontId="18" fillId="0" borderId="7" xfId="1" applyNumberFormat="1" applyFont="1" applyFill="1" applyBorder="1"/>
    <xf numFmtId="164" fontId="16" fillId="0" borderId="20" xfId="2" applyNumberFormat="1" applyFont="1" applyFill="1" applyBorder="1"/>
    <xf numFmtId="164" fontId="9" fillId="0" borderId="5" xfId="2" applyNumberFormat="1" applyFont="1" applyFill="1" applyBorder="1" applyAlignment="1">
      <alignment horizontal="right"/>
    </xf>
    <xf numFmtId="0" fontId="15" fillId="0" borderId="12" xfId="2" applyFont="1" applyFill="1" applyBorder="1" applyAlignment="1">
      <alignment horizontal="left" wrapText="1" indent="2"/>
    </xf>
    <xf numFmtId="164" fontId="9" fillId="0" borderId="5" xfId="1" applyNumberFormat="1" applyFont="1" applyFill="1" applyBorder="1"/>
    <xf numFmtId="164" fontId="9" fillId="0" borderId="8" xfId="1" applyNumberFormat="1" applyFont="1" applyFill="1" applyBorder="1"/>
    <xf numFmtId="3" fontId="7" fillId="0" borderId="8" xfId="1" applyNumberFormat="1" applyFont="1" applyFill="1" applyBorder="1"/>
    <xf numFmtId="3" fontId="19" fillId="0" borderId="18" xfId="2" applyNumberFormat="1" applyFont="1" applyFill="1" applyBorder="1" applyAlignment="1">
      <alignment horizontal="left" wrapText="1" indent="1"/>
    </xf>
    <xf numFmtId="0" fontId="12" fillId="0" borderId="18" xfId="2" applyFont="1" applyFill="1" applyBorder="1" applyAlignment="1">
      <alignment horizontal="left" wrapText="1" indent="1"/>
    </xf>
    <xf numFmtId="0" fontId="7" fillId="0" borderId="18" xfId="0" applyFont="1" applyFill="1" applyBorder="1" applyAlignment="1">
      <alignment horizontal="left" indent="2"/>
    </xf>
    <xf numFmtId="0" fontId="19" fillId="0" borderId="33" xfId="0" applyFont="1" applyFill="1" applyBorder="1" applyAlignment="1">
      <alignment horizontal="left" indent="2"/>
    </xf>
    <xf numFmtId="0" fontId="9" fillId="0" borderId="18" xfId="0" applyFont="1" applyFill="1" applyBorder="1" applyAlignment="1">
      <alignment horizontal="center"/>
    </xf>
    <xf numFmtId="164" fontId="19" fillId="0" borderId="12" xfId="1" applyNumberFormat="1" applyFont="1" applyFill="1" applyBorder="1" applyAlignment="1">
      <alignment horizontal="center"/>
    </xf>
    <xf numFmtId="0" fontId="9" fillId="0" borderId="33" xfId="2" applyFont="1" applyFill="1" applyBorder="1" applyAlignment="1">
      <alignment wrapText="1"/>
    </xf>
    <xf numFmtId="3" fontId="9" fillId="0" borderId="18" xfId="0" applyNumberFormat="1" applyFont="1" applyFill="1" applyBorder="1" applyAlignment="1">
      <alignment horizontal="center"/>
    </xf>
    <xf numFmtId="173" fontId="9" fillId="0" borderId="18" xfId="0" applyNumberFormat="1" applyFont="1" applyFill="1" applyBorder="1" applyAlignment="1">
      <alignment horizontal="center"/>
    </xf>
    <xf numFmtId="164" fontId="19" fillId="0" borderId="14" xfId="1" applyNumberFormat="1" applyFont="1" applyFill="1" applyBorder="1" applyAlignment="1">
      <alignment horizontal="center"/>
    </xf>
    <xf numFmtId="0" fontId="16" fillId="0" borderId="0" xfId="2" applyFont="1" applyFill="1" applyBorder="1" applyAlignment="1"/>
    <xf numFmtId="164" fontId="7" fillId="0" borderId="12" xfId="2" applyNumberFormat="1" applyFont="1" applyFill="1" applyBorder="1"/>
    <xf numFmtId="3" fontId="7" fillId="0" borderId="7" xfId="0" applyNumberFormat="1" applyFont="1" applyFill="1" applyBorder="1" applyAlignment="1">
      <alignment horizontal="left" vertical="top" wrapText="1" indent="2"/>
    </xf>
    <xf numFmtId="3" fontId="7" fillId="0" borderId="12" xfId="0" applyNumberFormat="1" applyFont="1" applyFill="1" applyBorder="1" applyAlignment="1">
      <alignment horizontal="left" vertical="top" wrapText="1" indent="2"/>
    </xf>
    <xf numFmtId="0" fontId="7" fillId="0" borderId="12" xfId="0" applyFont="1" applyFill="1" applyBorder="1" applyAlignment="1">
      <alignment horizontal="left" vertical="top" wrapText="1" indent="2"/>
    </xf>
    <xf numFmtId="166" fontId="15" fillId="0" borderId="7" xfId="2" applyNumberFormat="1" applyFont="1" applyFill="1" applyBorder="1" applyAlignment="1">
      <alignment horizontal="center"/>
    </xf>
    <xf numFmtId="166" fontId="25" fillId="0" borderId="7" xfId="2" applyNumberFormat="1" applyFont="1" applyFill="1" applyBorder="1" applyAlignment="1">
      <alignment horizontal="center"/>
    </xf>
    <xf numFmtId="0" fontId="9" fillId="0" borderId="8" xfId="2" applyFont="1" applyFill="1" applyBorder="1" applyAlignment="1">
      <alignment vertical="center" wrapText="1"/>
    </xf>
    <xf numFmtId="166" fontId="18" fillId="0" borderId="7" xfId="2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164" fontId="18" fillId="0" borderId="4" xfId="2" applyNumberFormat="1" applyFont="1" applyFill="1" applyBorder="1"/>
    <xf numFmtId="3" fontId="15" fillId="0" borderId="4" xfId="1" applyNumberFormat="1" applyFont="1" applyFill="1" applyBorder="1" applyAlignment="1">
      <alignment horizontal="center"/>
    </xf>
    <xf numFmtId="168" fontId="15" fillId="0" borderId="4" xfId="1" applyNumberFormat="1" applyFont="1" applyFill="1" applyBorder="1" applyAlignment="1">
      <alignment horizontal="center"/>
    </xf>
    <xf numFmtId="3" fontId="15" fillId="0" borderId="5" xfId="1" applyNumberFormat="1" applyFont="1" applyFill="1" applyBorder="1"/>
    <xf numFmtId="168" fontId="15" fillId="0" borderId="5" xfId="1" applyNumberFormat="1" applyFont="1" applyFill="1" applyBorder="1"/>
    <xf numFmtId="3" fontId="24" fillId="0" borderId="7" xfId="2" applyNumberFormat="1" applyFont="1" applyFill="1" applyBorder="1"/>
    <xf numFmtId="3" fontId="25" fillId="0" borderId="5" xfId="2" applyNumberFormat="1" applyFont="1" applyFill="1" applyBorder="1"/>
    <xf numFmtId="168" fontId="18" fillId="0" borderId="5" xfId="1" applyNumberFormat="1" applyFont="1" applyFill="1" applyBorder="1" applyAlignment="1">
      <alignment horizontal="center"/>
    </xf>
    <xf numFmtId="164" fontId="15" fillId="0" borderId="12" xfId="2" applyNumberFormat="1" applyFont="1" applyFill="1" applyBorder="1"/>
    <xf numFmtId="3" fontId="15" fillId="0" borderId="12" xfId="1" applyNumberFormat="1" applyFont="1" applyFill="1" applyBorder="1"/>
    <xf numFmtId="168" fontId="15" fillId="0" borderId="12" xfId="1" applyNumberFormat="1" applyFont="1" applyFill="1" applyBorder="1"/>
    <xf numFmtId="3" fontId="15" fillId="0" borderId="7" xfId="1" applyNumberFormat="1" applyFont="1" applyFill="1" applyBorder="1"/>
    <xf numFmtId="0" fontId="22" fillId="0" borderId="7" xfId="2" applyFont="1" applyFill="1" applyBorder="1" applyAlignment="1">
      <alignment horizontal="left" indent="1"/>
    </xf>
    <xf numFmtId="3" fontId="18" fillId="0" borderId="7" xfId="2" applyNumberFormat="1" applyFont="1" applyFill="1" applyBorder="1"/>
    <xf numFmtId="0" fontId="18" fillId="0" borderId="7" xfId="2" applyFont="1" applyFill="1" applyBorder="1" applyAlignment="1">
      <alignment horizontal="left" wrapText="1" indent="1" shrinkToFit="1"/>
    </xf>
    <xf numFmtId="169" fontId="18" fillId="0" borderId="7" xfId="2" applyNumberFormat="1" applyFont="1" applyFill="1" applyBorder="1"/>
    <xf numFmtId="3" fontId="22" fillId="0" borderId="8" xfId="2" applyNumberFormat="1" applyFont="1" applyFill="1" applyBorder="1"/>
    <xf numFmtId="169" fontId="18" fillId="0" borderId="8" xfId="2" applyNumberFormat="1" applyFont="1" applyFill="1" applyBorder="1"/>
    <xf numFmtId="164" fontId="18" fillId="0" borderId="8" xfId="2" applyNumberFormat="1" applyFont="1" applyFill="1" applyBorder="1"/>
    <xf numFmtId="0" fontId="9" fillId="0" borderId="51" xfId="2" applyFont="1" applyFill="1" applyBorder="1" applyAlignment="1">
      <alignment horizontal="left" indent="1"/>
    </xf>
    <xf numFmtId="164" fontId="18" fillId="0" borderId="28" xfId="2" applyNumberFormat="1" applyFont="1" applyFill="1" applyBorder="1"/>
    <xf numFmtId="0" fontId="19" fillId="0" borderId="12" xfId="2" applyFont="1" applyFill="1" applyBorder="1" applyAlignment="1">
      <alignment horizontal="left" wrapText="1" indent="1"/>
    </xf>
    <xf numFmtId="0" fontId="16" fillId="0" borderId="7" xfId="0" applyFont="1" applyFill="1" applyBorder="1" applyAlignment="1">
      <alignment horizontal="left" indent="1"/>
    </xf>
    <xf numFmtId="167" fontId="18" fillId="0" borderId="7" xfId="2" applyNumberFormat="1" applyFont="1" applyFill="1" applyBorder="1" applyAlignment="1">
      <alignment horizontal="center"/>
    </xf>
    <xf numFmtId="164" fontId="15" fillId="0" borderId="7" xfId="6" applyNumberFormat="1" applyFont="1" applyFill="1" applyBorder="1"/>
    <xf numFmtId="166" fontId="15" fillId="0" borderId="7" xfId="6" applyNumberFormat="1" applyFont="1" applyFill="1" applyBorder="1"/>
    <xf numFmtId="3" fontId="15" fillId="0" borderId="7" xfId="1" applyNumberFormat="1" applyFont="1" applyFill="1" applyBorder="1" applyAlignment="1"/>
    <xf numFmtId="168" fontId="15" fillId="0" borderId="7" xfId="1" applyNumberFormat="1" applyFont="1" applyFill="1" applyBorder="1" applyAlignment="1">
      <alignment vertical="top"/>
    </xf>
    <xf numFmtId="0" fontId="15" fillId="0" borderId="0" xfId="2" applyFont="1" applyFill="1" applyAlignment="1">
      <alignment vertical="top"/>
    </xf>
    <xf numFmtId="0" fontId="15" fillId="0" borderId="8" xfId="0" applyFont="1" applyFill="1" applyBorder="1" applyAlignment="1">
      <alignment horizontal="left" vertical="top" wrapText="1" indent="2"/>
    </xf>
    <xf numFmtId="0" fontId="18" fillId="0" borderId="8" xfId="0" applyFont="1" applyFill="1" applyBorder="1" applyAlignment="1">
      <alignment horizontal="left" wrapText="1" indent="2"/>
    </xf>
    <xf numFmtId="3" fontId="15" fillId="0" borderId="5" xfId="1" applyNumberFormat="1" applyFont="1" applyFill="1" applyBorder="1" applyAlignment="1"/>
    <xf numFmtId="168" fontId="15" fillId="0" borderId="5" xfId="1" applyNumberFormat="1" applyFont="1" applyFill="1" applyBorder="1" applyAlignment="1">
      <alignment vertical="top"/>
    </xf>
    <xf numFmtId="0" fontId="7" fillId="0" borderId="8" xfId="2" applyFont="1" applyFill="1" applyBorder="1" applyAlignment="1">
      <alignment horizontal="left" wrapText="1" indent="1"/>
    </xf>
    <xf numFmtId="0" fontId="18" fillId="0" borderId="5" xfId="0" applyFont="1" applyFill="1" applyBorder="1" applyAlignment="1">
      <alignment horizontal="left" wrapText="1" indent="2"/>
    </xf>
    <xf numFmtId="3" fontId="18" fillId="0" borderId="14" xfId="1" applyNumberFormat="1" applyFont="1" applyFill="1" applyBorder="1" applyAlignment="1"/>
    <xf numFmtId="168" fontId="18" fillId="0" borderId="14" xfId="1" applyNumberFormat="1" applyFont="1" applyFill="1" applyBorder="1" applyAlignment="1">
      <alignment vertical="top"/>
    </xf>
    <xf numFmtId="164" fontId="16" fillId="0" borderId="61" xfId="2" applyNumberFormat="1" applyFont="1" applyFill="1" applyBorder="1"/>
    <xf numFmtId="3" fontId="16" fillId="0" borderId="1" xfId="2" applyNumberFormat="1" applyFont="1" applyFill="1" applyBorder="1"/>
    <xf numFmtId="168" fontId="16" fillId="0" borderId="61" xfId="1" applyNumberFormat="1" applyFont="1" applyFill="1" applyBorder="1"/>
    <xf numFmtId="168" fontId="16" fillId="0" borderId="1" xfId="1" applyNumberFormat="1" applyFont="1" applyFill="1" applyBorder="1"/>
    <xf numFmtId="168" fontId="16" fillId="0" borderId="24" xfId="1" applyNumberFormat="1" applyFont="1" applyFill="1" applyBorder="1"/>
    <xf numFmtId="0" fontId="4" fillId="0" borderId="0" xfId="2" applyFont="1" applyFill="1" applyBorder="1"/>
    <xf numFmtId="0" fontId="6" fillId="0" borderId="0" xfId="2" applyFont="1" applyFill="1" applyAlignment="1">
      <alignment horizontal="center" vertical="center" wrapText="1"/>
    </xf>
    <xf numFmtId="0" fontId="21" fillId="0" borderId="46" xfId="2" applyFont="1" applyFill="1" applyBorder="1" applyAlignment="1">
      <alignment horizontal="center"/>
    </xf>
    <xf numFmtId="0" fontId="21" fillId="0" borderId="32" xfId="2" applyFont="1" applyFill="1" applyBorder="1" applyAlignment="1">
      <alignment horizontal="center"/>
    </xf>
    <xf numFmtId="0" fontId="5" fillId="0" borderId="45" xfId="2" applyFont="1" applyFill="1" applyBorder="1" applyAlignment="1">
      <alignment horizontal="center" vertical="top"/>
    </xf>
    <xf numFmtId="0" fontId="15" fillId="0" borderId="2" xfId="2" applyFont="1" applyFill="1" applyBorder="1" applyAlignment="1">
      <alignment horizontal="center" vertical="top"/>
    </xf>
    <xf numFmtId="0" fontId="7" fillId="0" borderId="15" xfId="2" applyFont="1" applyFill="1" applyBorder="1" applyAlignment="1">
      <alignment horizontal="center" vertical="center" wrapText="1"/>
    </xf>
    <xf numFmtId="0" fontId="14" fillId="0" borderId="20" xfId="2" applyFont="1" applyFill="1" applyBorder="1"/>
    <xf numFmtId="164" fontId="14" fillId="0" borderId="7" xfId="2" applyNumberFormat="1" applyFont="1" applyFill="1" applyBorder="1"/>
    <xf numFmtId="0" fontId="14" fillId="0" borderId="18" xfId="2" applyFont="1" applyFill="1" applyBorder="1" applyAlignment="1">
      <alignment horizontal="left" indent="2"/>
    </xf>
    <xf numFmtId="166" fontId="14" fillId="0" borderId="7" xfId="2" applyNumberFormat="1" applyFont="1" applyFill="1" applyBorder="1"/>
    <xf numFmtId="164" fontId="9" fillId="0" borderId="1" xfId="2" applyNumberFormat="1" applyFont="1" applyFill="1" applyBorder="1"/>
    <xf numFmtId="164" fontId="7" fillId="0" borderId="0" xfId="2" applyNumberFormat="1" applyFont="1" applyFill="1" applyBorder="1"/>
    <xf numFmtId="0" fontId="7" fillId="0" borderId="8" xfId="2" applyFont="1" applyFill="1" applyBorder="1"/>
    <xf numFmtId="0" fontId="7" fillId="0" borderId="52" xfId="0" applyFont="1" applyFill="1" applyBorder="1" applyAlignment="1">
      <alignment wrapText="1"/>
    </xf>
    <xf numFmtId="164" fontId="7" fillId="0" borderId="7" xfId="1" applyNumberFormat="1" applyFont="1" applyFill="1" applyBorder="1"/>
    <xf numFmtId="164" fontId="7" fillId="0" borderId="17" xfId="2" applyNumberFormat="1" applyFont="1" applyFill="1" applyBorder="1"/>
    <xf numFmtId="164" fontId="7" fillId="0" borderId="5" xfId="2" applyNumberFormat="1" applyFont="1" applyFill="1" applyBorder="1"/>
    <xf numFmtId="164" fontId="7" fillId="0" borderId="7" xfId="2" applyNumberFormat="1" applyFont="1" applyFill="1" applyBorder="1" applyAlignment="1">
      <alignment horizontal="center"/>
    </xf>
    <xf numFmtId="168" fontId="7" fillId="0" borderId="12" xfId="1" applyNumberFormat="1" applyFont="1" applyFill="1" applyBorder="1" applyAlignment="1">
      <alignment horizontal="right"/>
    </xf>
    <xf numFmtId="0" fontId="13" fillId="0" borderId="0" xfId="2" applyFont="1" applyFill="1" applyBorder="1"/>
    <xf numFmtId="164" fontId="7" fillId="0" borderId="1" xfId="2" applyNumberFormat="1" applyFont="1" applyFill="1" applyBorder="1"/>
    <xf numFmtId="49" fontId="7" fillId="0" borderId="0" xfId="0" applyNumberFormat="1" applyFont="1" applyFill="1" applyBorder="1" applyAlignment="1">
      <alignment horizontal="right"/>
    </xf>
    <xf numFmtId="0" fontId="7" fillId="0" borderId="33" xfId="0" applyFont="1" applyFill="1" applyBorder="1" applyAlignment="1">
      <alignment horizontal="left" wrapText="1" indent="2"/>
    </xf>
    <xf numFmtId="164" fontId="9" fillId="0" borderId="5" xfId="2" applyNumberFormat="1" applyFont="1" applyFill="1" applyBorder="1"/>
    <xf numFmtId="164" fontId="9" fillId="0" borderId="12" xfId="2" applyNumberFormat="1" applyFont="1" applyFill="1" applyBorder="1"/>
    <xf numFmtId="164" fontId="7" fillId="0" borderId="12" xfId="1" applyNumberFormat="1" applyFont="1" applyFill="1" applyBorder="1" applyAlignment="1"/>
    <xf numFmtId="0" fontId="9" fillId="0" borderId="17" xfId="2" applyFont="1" applyFill="1" applyBorder="1"/>
    <xf numFmtId="164" fontId="15" fillId="0" borderId="7" xfId="3" applyNumberFormat="1" applyFont="1" applyFill="1" applyBorder="1" applyAlignment="1">
      <alignment horizontal="left"/>
    </xf>
    <xf numFmtId="168" fontId="19" fillId="0" borderId="21" xfId="1" applyNumberFormat="1" applyFont="1" applyFill="1" applyBorder="1" applyAlignment="1">
      <alignment horizontal="center"/>
    </xf>
    <xf numFmtId="0" fontId="7" fillId="0" borderId="53" xfId="0" applyNumberFormat="1" applyFont="1" applyFill="1" applyBorder="1" applyAlignment="1">
      <alignment horizontal="right"/>
    </xf>
    <xf numFmtId="164" fontId="9" fillId="0" borderId="20" xfId="2" applyNumberFormat="1" applyFont="1" applyFill="1" applyBorder="1"/>
    <xf numFmtId="0" fontId="9" fillId="0" borderId="58" xfId="2" applyFont="1" applyFill="1" applyBorder="1"/>
    <xf numFmtId="0" fontId="9" fillId="0" borderId="57" xfId="2" applyFont="1" applyFill="1" applyBorder="1"/>
    <xf numFmtId="0" fontId="9" fillId="0" borderId="56" xfId="2" applyFont="1" applyFill="1" applyBorder="1"/>
    <xf numFmtId="0" fontId="15" fillId="0" borderId="0" xfId="2" applyFont="1" applyFill="1" applyAlignment="1">
      <alignment wrapText="1"/>
    </xf>
    <xf numFmtId="0" fontId="16" fillId="0" borderId="7" xfId="2" applyFont="1" applyFill="1" applyBorder="1" applyAlignment="1">
      <alignment horizontal="left" indent="1"/>
    </xf>
    <xf numFmtId="164" fontId="16" fillId="0" borderId="8" xfId="6" applyNumberFormat="1" applyFont="1" applyFill="1" applyBorder="1"/>
    <xf numFmtId="166" fontId="26" fillId="0" borderId="7" xfId="6" applyNumberFormat="1" applyFont="1" applyFill="1" applyBorder="1"/>
    <xf numFmtId="167" fontId="9" fillId="0" borderId="8" xfId="1" applyNumberFormat="1" applyFont="1" applyFill="1" applyBorder="1" applyAlignment="1">
      <alignment horizontal="center"/>
    </xf>
    <xf numFmtId="164" fontId="16" fillId="0" borderId="17" xfId="6" applyNumberFormat="1" applyFont="1" applyFill="1" applyBorder="1" applyAlignment="1">
      <alignment horizontal="center"/>
    </xf>
    <xf numFmtId="164" fontId="16" fillId="0" borderId="13" xfId="6" applyNumberFormat="1" applyFont="1" applyFill="1" applyBorder="1" applyAlignment="1">
      <alignment horizontal="center"/>
    </xf>
    <xf numFmtId="166" fontId="16" fillId="0" borderId="0" xfId="2" applyNumberFormat="1" applyFont="1" applyFill="1" applyBorder="1"/>
    <xf numFmtId="0" fontId="16" fillId="0" borderId="16" xfId="2" applyFont="1" applyFill="1" applyBorder="1"/>
    <xf numFmtId="164" fontId="15" fillId="0" borderId="7" xfId="6" applyNumberFormat="1" applyFont="1" applyFill="1" applyBorder="1" applyAlignment="1">
      <alignment horizontal="center"/>
    </xf>
    <xf numFmtId="164" fontId="16" fillId="0" borderId="5" xfId="6" applyNumberFormat="1" applyFont="1" applyFill="1" applyBorder="1"/>
    <xf numFmtId="0" fontId="16" fillId="0" borderId="10" xfId="2" applyFont="1" applyFill="1" applyBorder="1" applyAlignment="1">
      <alignment horizontal="left"/>
    </xf>
    <xf numFmtId="164" fontId="16" fillId="0" borderId="10" xfId="6" applyNumberFormat="1" applyFont="1" applyFill="1" applyBorder="1" applyAlignment="1">
      <alignment horizontal="center"/>
    </xf>
    <xf numFmtId="164" fontId="22" fillId="0" borderId="7" xfId="6" applyNumberFormat="1" applyFont="1" applyFill="1" applyBorder="1"/>
    <xf numFmtId="164" fontId="25" fillId="0" borderId="7" xfId="6" applyNumberFormat="1" applyFont="1" applyFill="1" applyBorder="1" applyAlignment="1">
      <alignment horizontal="center"/>
    </xf>
    <xf numFmtId="166" fontId="15" fillId="0" borderId="7" xfId="2" applyNumberFormat="1" applyFont="1" applyFill="1" applyBorder="1"/>
    <xf numFmtId="166" fontId="15" fillId="0" borderId="7" xfId="6" applyNumberFormat="1" applyFont="1" applyFill="1" applyBorder="1" applyAlignment="1">
      <alignment horizontal="center"/>
    </xf>
    <xf numFmtId="166" fontId="15" fillId="0" borderId="12" xfId="2" applyNumberFormat="1" applyFont="1" applyFill="1" applyBorder="1"/>
    <xf numFmtId="0" fontId="15" fillId="0" borderId="8" xfId="0" applyFont="1" applyFill="1" applyBorder="1" applyAlignment="1">
      <alignment horizontal="left" wrapText="1"/>
    </xf>
    <xf numFmtId="0" fontId="9" fillId="0" borderId="5" xfId="2" applyFont="1" applyFill="1" applyBorder="1" applyAlignment="1">
      <alignment wrapText="1"/>
    </xf>
    <xf numFmtId="0" fontId="7" fillId="0" borderId="7" xfId="2" applyFont="1" applyFill="1" applyBorder="1" applyAlignment="1">
      <alignment wrapText="1"/>
    </xf>
    <xf numFmtId="0" fontId="7" fillId="0" borderId="5" xfId="2" applyFont="1" applyFill="1" applyBorder="1" applyAlignment="1">
      <alignment wrapText="1"/>
    </xf>
    <xf numFmtId="0" fontId="16" fillId="0" borderId="10" xfId="2" applyFont="1" applyFill="1" applyBorder="1"/>
    <xf numFmtId="164" fontId="7" fillId="0" borderId="5" xfId="1" applyNumberFormat="1" applyFont="1" applyFill="1" applyBorder="1"/>
    <xf numFmtId="0" fontId="9" fillId="0" borderId="32" xfId="2" applyFont="1" applyFill="1" applyBorder="1" applyAlignment="1"/>
    <xf numFmtId="0" fontId="9" fillId="0" borderId="59" xfId="2" applyFont="1" applyFill="1" applyBorder="1" applyAlignment="1"/>
    <xf numFmtId="0" fontId="9" fillId="0" borderId="57" xfId="2" applyFont="1" applyFill="1" applyBorder="1" applyAlignment="1"/>
    <xf numFmtId="0" fontId="9" fillId="0" borderId="0" xfId="2" applyFont="1" applyFill="1" applyBorder="1" applyAlignment="1"/>
    <xf numFmtId="0" fontId="6" fillId="0" borderId="0" xfId="0" applyFont="1" applyFill="1" applyAlignment="1">
      <alignment horizontal="justify" vertical="center"/>
    </xf>
    <xf numFmtId="0" fontId="10" fillId="0" borderId="0" xfId="0" applyFont="1" applyFill="1" applyAlignment="1"/>
    <xf numFmtId="164" fontId="15" fillId="0" borderId="0" xfId="2" applyNumberFormat="1" applyFont="1" applyFill="1"/>
    <xf numFmtId="164" fontId="9" fillId="0" borderId="7" xfId="2" applyNumberFormat="1" applyFont="1" applyFill="1" applyBorder="1" applyAlignment="1">
      <alignment horizontal="center"/>
    </xf>
    <xf numFmtId="164" fontId="19" fillId="0" borderId="7" xfId="2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8" fillId="0" borderId="7" xfId="2" applyFont="1" applyFill="1" applyBorder="1" applyAlignment="1">
      <alignment horizontal="left" wrapText="1" indent="2"/>
    </xf>
    <xf numFmtId="0" fontId="7" fillId="0" borderId="25" xfId="2" applyFont="1" applyFill="1" applyBorder="1" applyAlignment="1">
      <alignment horizontal="center"/>
    </xf>
    <xf numFmtId="0" fontId="23" fillId="0" borderId="12" xfId="2" applyFont="1" applyFill="1" applyBorder="1" applyAlignment="1">
      <alignment horizontal="left" vertical="justify" indent="2"/>
    </xf>
    <xf numFmtId="3" fontId="7" fillId="0" borderId="12" xfId="12" applyNumberFormat="1" applyFont="1" applyFill="1" applyBorder="1"/>
    <xf numFmtId="0" fontId="16" fillId="0" borderId="65" xfId="10" applyFont="1" applyFill="1" applyBorder="1" applyAlignment="1" applyProtection="1">
      <alignment wrapText="1"/>
    </xf>
    <xf numFmtId="0" fontId="15" fillId="0" borderId="0" xfId="2" applyFont="1" applyFill="1" applyAlignment="1">
      <alignment horizontal="left"/>
    </xf>
    <xf numFmtId="49" fontId="7" fillId="0" borderId="53" xfId="0" applyNumberFormat="1" applyFont="1" applyFill="1" applyBorder="1" applyAlignment="1">
      <alignment horizontal="left"/>
    </xf>
    <xf numFmtId="0" fontId="7" fillId="0" borderId="32" xfId="2" applyFont="1" applyFill="1" applyBorder="1" applyAlignment="1">
      <alignment horizontal="left" wrapText="1"/>
    </xf>
    <xf numFmtId="169" fontId="18" fillId="0" borderId="0" xfId="2" applyNumberFormat="1" applyFont="1" applyFill="1" applyBorder="1" applyAlignment="1">
      <alignment horizontal="left"/>
    </xf>
    <xf numFmtId="168" fontId="9" fillId="0" borderId="5" xfId="1" applyNumberFormat="1" applyFont="1" applyFill="1" applyBorder="1" applyAlignment="1">
      <alignment horizontal="left"/>
    </xf>
    <xf numFmtId="168" fontId="9" fillId="0" borderId="22" xfId="1" applyNumberFormat="1" applyFont="1" applyFill="1" applyBorder="1" applyAlignment="1">
      <alignment horizontal="left"/>
    </xf>
    <xf numFmtId="0" fontId="9" fillId="0" borderId="32" xfId="2" applyFont="1" applyFill="1" applyBorder="1" applyAlignment="1">
      <alignment horizontal="left" wrapText="1"/>
    </xf>
    <xf numFmtId="0" fontId="16" fillId="0" borderId="0" xfId="2" applyFont="1" applyFill="1" applyAlignment="1">
      <alignment horizontal="left"/>
    </xf>
    <xf numFmtId="164" fontId="16" fillId="0" borderId="5" xfId="2" applyNumberFormat="1" applyFont="1" applyFill="1" applyBorder="1" applyAlignment="1">
      <alignment horizontal="left"/>
    </xf>
    <xf numFmtId="164" fontId="16" fillId="0" borderId="14" xfId="2" applyNumberFormat="1" applyFont="1" applyFill="1" applyBorder="1" applyAlignment="1">
      <alignment horizontal="left"/>
    </xf>
    <xf numFmtId="164" fontId="16" fillId="0" borderId="12" xfId="2" applyNumberFormat="1" applyFont="1" applyFill="1" applyBorder="1" applyAlignment="1">
      <alignment horizontal="left"/>
    </xf>
    <xf numFmtId="0" fontId="19" fillId="0" borderId="12" xfId="2" applyFont="1" applyFill="1" applyBorder="1" applyAlignment="1">
      <alignment horizontal="left" wrapText="1" indent="3"/>
    </xf>
    <xf numFmtId="0" fontId="7" fillId="0" borderId="8" xfId="2" applyFont="1" applyFill="1" applyBorder="1" applyAlignment="1">
      <alignment horizontal="left" wrapText="1" indent="3"/>
    </xf>
    <xf numFmtId="0" fontId="9" fillId="0" borderId="7" xfId="2" applyFont="1" applyFill="1" applyBorder="1" applyAlignment="1">
      <alignment horizontal="right" wrapText="1" indent="3"/>
    </xf>
    <xf numFmtId="164" fontId="15" fillId="0" borderId="18" xfId="2" applyNumberFormat="1" applyFont="1" applyFill="1" applyBorder="1"/>
    <xf numFmtId="164" fontId="15" fillId="0" borderId="18" xfId="2" applyNumberFormat="1" applyFont="1" applyFill="1" applyBorder="1" applyAlignment="1">
      <alignment vertical="top"/>
    </xf>
    <xf numFmtId="164" fontId="15" fillId="0" borderId="32" xfId="2" applyNumberFormat="1" applyFont="1" applyFill="1" applyBorder="1" applyAlignment="1">
      <alignment vertical="top"/>
    </xf>
    <xf numFmtId="164" fontId="15" fillId="0" borderId="18" xfId="6" applyNumberFormat="1" applyFont="1" applyFill="1" applyBorder="1"/>
    <xf numFmtId="164" fontId="18" fillId="0" borderId="32" xfId="2" applyNumberFormat="1" applyFont="1" applyFill="1" applyBorder="1" applyAlignment="1">
      <alignment vertical="top"/>
    </xf>
    <xf numFmtId="0" fontId="16" fillId="0" borderId="20" xfId="10" applyFont="1" applyFill="1" applyBorder="1" applyAlignment="1" applyProtection="1">
      <alignment wrapText="1"/>
    </xf>
    <xf numFmtId="168" fontId="15" fillId="0" borderId="67" xfId="1" applyNumberFormat="1" applyFont="1" applyFill="1" applyBorder="1"/>
    <xf numFmtId="168" fontId="15" fillId="0" borderId="67" xfId="1" applyNumberFormat="1" applyFont="1" applyFill="1" applyBorder="1" applyAlignment="1">
      <alignment vertical="top"/>
    </xf>
    <xf numFmtId="168" fontId="15" fillId="0" borderId="0" xfId="1" applyNumberFormat="1" applyFont="1" applyFill="1" applyBorder="1" applyAlignment="1">
      <alignment vertical="top"/>
    </xf>
    <xf numFmtId="168" fontId="15" fillId="0" borderId="64" xfId="1" applyNumberFormat="1" applyFont="1" applyFill="1" applyBorder="1" applyAlignment="1">
      <alignment vertical="top"/>
    </xf>
    <xf numFmtId="166" fontId="15" fillId="0" borderId="67" xfId="6" applyNumberFormat="1" applyFont="1" applyFill="1" applyBorder="1"/>
    <xf numFmtId="169" fontId="18" fillId="0" borderId="67" xfId="2" applyNumberFormat="1" applyFont="1" applyFill="1" applyBorder="1"/>
    <xf numFmtId="168" fontId="18" fillId="0" borderId="0" xfId="1" applyNumberFormat="1" applyFont="1" applyFill="1" applyBorder="1" applyAlignment="1">
      <alignment vertical="top"/>
    </xf>
    <xf numFmtId="168" fontId="18" fillId="0" borderId="6" xfId="1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justify"/>
    </xf>
    <xf numFmtId="0" fontId="20" fillId="0" borderId="30" xfId="2" applyFont="1" applyFill="1" applyBorder="1" applyAlignment="1">
      <alignment horizontal="left" vertical="justify"/>
    </xf>
    <xf numFmtId="3" fontId="20" fillId="0" borderId="1" xfId="2" applyNumberFormat="1" applyFont="1" applyFill="1" applyBorder="1" applyAlignment="1">
      <alignment horizontal="left" vertical="justify"/>
    </xf>
    <xf numFmtId="0" fontId="20" fillId="0" borderId="20" xfId="2" applyFont="1" applyFill="1" applyBorder="1" applyAlignment="1">
      <alignment horizontal="left" vertical="justify"/>
    </xf>
    <xf numFmtId="168" fontId="15" fillId="0" borderId="14" xfId="1" applyNumberFormat="1" applyFont="1" applyFill="1" applyBorder="1" applyAlignment="1">
      <alignment horizontal="center"/>
    </xf>
    <xf numFmtId="3" fontId="9" fillId="0" borderId="7" xfId="1" applyNumberFormat="1" applyFont="1" applyFill="1" applyBorder="1" applyAlignment="1">
      <alignment horizontal="right"/>
    </xf>
    <xf numFmtId="3" fontId="9" fillId="0" borderId="6" xfId="1" applyNumberFormat="1" applyFont="1" applyFill="1" applyBorder="1" applyAlignment="1">
      <alignment horizontal="right"/>
    </xf>
    <xf numFmtId="168" fontId="16" fillId="0" borderId="12" xfId="1" applyNumberFormat="1" applyFont="1" applyFill="1" applyBorder="1" applyAlignment="1">
      <alignment horizontal="center"/>
    </xf>
    <xf numFmtId="0" fontId="7" fillId="0" borderId="66" xfId="2" applyFont="1" applyFill="1" applyBorder="1"/>
    <xf numFmtId="0" fontId="7" fillId="0" borderId="60" xfId="2" applyFont="1" applyFill="1" applyBorder="1"/>
    <xf numFmtId="164" fontId="9" fillId="0" borderId="0" xfId="2" applyNumberFormat="1" applyFont="1" applyFill="1"/>
    <xf numFmtId="173" fontId="7" fillId="0" borderId="7" xfId="2" applyNumberFormat="1" applyFont="1" applyFill="1" applyBorder="1" applyAlignment="1">
      <alignment horizontal="center"/>
    </xf>
    <xf numFmtId="0" fontId="14" fillId="0" borderId="33" xfId="2" applyFont="1" applyFill="1" applyBorder="1" applyAlignment="1">
      <alignment horizontal="left" wrapText="1" indent="1"/>
    </xf>
    <xf numFmtId="164" fontId="7" fillId="0" borderId="26" xfId="1" applyNumberFormat="1" applyFont="1" applyFill="1" applyBorder="1" applyAlignment="1"/>
    <xf numFmtId="0" fontId="9" fillId="0" borderId="31" xfId="2" applyFont="1" applyFill="1" applyBorder="1"/>
    <xf numFmtId="164" fontId="7" fillId="0" borderId="20" xfId="2" applyNumberFormat="1" applyFont="1" applyFill="1" applyBorder="1"/>
    <xf numFmtId="164" fontId="7" fillId="0" borderId="30" xfId="2" applyNumberFormat="1" applyFont="1" applyFill="1" applyBorder="1"/>
    <xf numFmtId="0" fontId="11" fillId="0" borderId="18" xfId="0" applyFont="1" applyFill="1" applyBorder="1" applyAlignment="1">
      <alignment horizontal="center"/>
    </xf>
    <xf numFmtId="164" fontId="17" fillId="0" borderId="7" xfId="2" applyNumberFormat="1" applyFont="1" applyFill="1" applyBorder="1"/>
    <xf numFmtId="168" fontId="17" fillId="0" borderId="26" xfId="1" applyNumberFormat="1" applyFont="1" applyFill="1" applyBorder="1" applyAlignment="1">
      <alignment horizontal="center"/>
    </xf>
    <xf numFmtId="173" fontId="24" fillId="0" borderId="12" xfId="1" applyNumberFormat="1" applyFont="1" applyFill="1" applyBorder="1" applyAlignment="1">
      <alignment horizontal="center"/>
    </xf>
    <xf numFmtId="164" fontId="11" fillId="0" borderId="12" xfId="1" applyNumberFormat="1" applyFont="1" applyFill="1" applyBorder="1"/>
    <xf numFmtId="168" fontId="17" fillId="0" borderId="12" xfId="1" applyNumberFormat="1" applyFont="1" applyFill="1" applyBorder="1" applyAlignment="1">
      <alignment horizontal="center"/>
    </xf>
    <xf numFmtId="168" fontId="22" fillId="0" borderId="26" xfId="1" applyNumberFormat="1" applyFont="1" applyFill="1" applyBorder="1" applyAlignment="1">
      <alignment horizontal="center"/>
    </xf>
    <xf numFmtId="168" fontId="18" fillId="0" borderId="26" xfId="1" applyNumberFormat="1" applyFont="1" applyFill="1" applyBorder="1" applyAlignment="1">
      <alignment horizontal="center"/>
    </xf>
    <xf numFmtId="164" fontId="14" fillId="0" borderId="26" xfId="1" applyNumberFormat="1" applyFont="1" applyFill="1" applyBorder="1"/>
    <xf numFmtId="164" fontId="14" fillId="0" borderId="12" xfId="1" applyNumberFormat="1" applyFont="1" applyFill="1" applyBorder="1"/>
    <xf numFmtId="0" fontId="13" fillId="0" borderId="18" xfId="0" applyFont="1" applyFill="1" applyBorder="1" applyAlignment="1">
      <alignment horizontal="left" indent="1"/>
    </xf>
    <xf numFmtId="164" fontId="13" fillId="0" borderId="26" xfId="1" applyNumberFormat="1" applyFont="1" applyFill="1" applyBorder="1"/>
    <xf numFmtId="164" fontId="13" fillId="0" borderId="12" xfId="1" applyNumberFormat="1" applyFont="1" applyFill="1" applyBorder="1"/>
    <xf numFmtId="0" fontId="13" fillId="0" borderId="33" xfId="2" applyFont="1" applyFill="1" applyBorder="1" applyAlignment="1">
      <alignment wrapText="1"/>
    </xf>
    <xf numFmtId="0" fontId="14" fillId="0" borderId="9" xfId="2" applyFont="1" applyFill="1" applyBorder="1"/>
    <xf numFmtId="0" fontId="9" fillId="0" borderId="47" xfId="2" applyFont="1" applyFill="1" applyBorder="1" applyAlignment="1">
      <alignment horizontal="left"/>
    </xf>
    <xf numFmtId="164" fontId="9" fillId="0" borderId="17" xfId="2" applyNumberFormat="1" applyFont="1" applyFill="1" applyBorder="1"/>
    <xf numFmtId="164" fontId="9" fillId="0" borderId="49" xfId="2" applyNumberFormat="1" applyFont="1" applyFill="1" applyBorder="1" applyAlignment="1">
      <alignment horizontal="right"/>
    </xf>
    <xf numFmtId="164" fontId="9" fillId="0" borderId="17" xfId="2" applyNumberFormat="1" applyFont="1" applyFill="1" applyBorder="1" applyAlignment="1">
      <alignment horizontal="right"/>
    </xf>
    <xf numFmtId="0" fontId="9" fillId="0" borderId="46" xfId="2" applyFont="1" applyFill="1" applyBorder="1" applyAlignment="1">
      <alignment horizontal="left"/>
    </xf>
    <xf numFmtId="164" fontId="7" fillId="0" borderId="30" xfId="1" applyNumberFormat="1" applyFont="1" applyFill="1" applyBorder="1"/>
    <xf numFmtId="164" fontId="7" fillId="0" borderId="20" xfId="1" applyNumberFormat="1" applyFont="1" applyFill="1" applyBorder="1"/>
    <xf numFmtId="0" fontId="9" fillId="0" borderId="47" xfId="2" applyFont="1" applyFill="1" applyBorder="1"/>
    <xf numFmtId="164" fontId="9" fillId="0" borderId="27" xfId="2" applyNumberFormat="1" applyFont="1" applyFill="1" applyBorder="1" applyAlignment="1">
      <alignment horizontal="right"/>
    </xf>
    <xf numFmtId="0" fontId="7" fillId="0" borderId="32" xfId="2" applyFont="1" applyFill="1" applyBorder="1"/>
    <xf numFmtId="164" fontId="7" fillId="0" borderId="21" xfId="1" applyNumberFormat="1" applyFont="1" applyFill="1" applyBorder="1"/>
    <xf numFmtId="0" fontId="11" fillId="0" borderId="18" xfId="2" applyFont="1" applyFill="1" applyBorder="1" applyAlignment="1">
      <alignment horizontal="left" indent="1"/>
    </xf>
    <xf numFmtId="0" fontId="7" fillId="0" borderId="18" xfId="2" applyFont="1" applyFill="1" applyBorder="1" applyAlignment="1">
      <alignment horizontal="left" indent="2"/>
    </xf>
    <xf numFmtId="0" fontId="24" fillId="0" borderId="18" xfId="2" applyFont="1" applyFill="1" applyBorder="1" applyAlignment="1">
      <alignment horizontal="left" indent="2"/>
    </xf>
    <xf numFmtId="168" fontId="7" fillId="0" borderId="26" xfId="1" applyNumberFormat="1" applyFont="1" applyFill="1" applyBorder="1"/>
    <xf numFmtId="0" fontId="15" fillId="0" borderId="18" xfId="0" applyFont="1" applyFill="1" applyBorder="1" applyAlignment="1">
      <alignment horizontal="left" indent="2"/>
    </xf>
    <xf numFmtId="164" fontId="7" fillId="0" borderId="21" xfId="2" applyNumberFormat="1" applyFont="1" applyFill="1" applyBorder="1" applyAlignment="1">
      <alignment horizontal="right"/>
    </xf>
    <xf numFmtId="0" fontId="19" fillId="0" borderId="18" xfId="0" applyFont="1" applyFill="1" applyBorder="1" applyAlignment="1">
      <alignment horizontal="left" indent="1"/>
    </xf>
    <xf numFmtId="164" fontId="19" fillId="0" borderId="26" xfId="1" applyNumberFormat="1" applyFont="1" applyFill="1" applyBorder="1"/>
    <xf numFmtId="0" fontId="7" fillId="0" borderId="11" xfId="2" applyFont="1" applyFill="1" applyBorder="1"/>
    <xf numFmtId="164" fontId="9" fillId="0" borderId="26" xfId="1" applyNumberFormat="1" applyFont="1" applyFill="1" applyBorder="1"/>
    <xf numFmtId="0" fontId="9" fillId="0" borderId="44" xfId="2" applyFont="1" applyFill="1" applyBorder="1" applyAlignment="1">
      <alignment wrapText="1"/>
    </xf>
    <xf numFmtId="164" fontId="9" fillId="0" borderId="13" xfId="2" applyNumberFormat="1" applyFont="1" applyFill="1" applyBorder="1"/>
    <xf numFmtId="164" fontId="9" fillId="0" borderId="50" xfId="2" applyNumberFormat="1" applyFont="1" applyFill="1" applyBorder="1"/>
    <xf numFmtId="168" fontId="9" fillId="0" borderId="21" xfId="1" applyNumberFormat="1" applyFont="1" applyFill="1" applyBorder="1" applyAlignment="1">
      <alignment horizontal="right"/>
    </xf>
    <xf numFmtId="168" fontId="9" fillId="0" borderId="21" xfId="1" applyNumberFormat="1" applyFont="1" applyFill="1" applyBorder="1" applyAlignment="1">
      <alignment horizontal="center"/>
    </xf>
    <xf numFmtId="0" fontId="15" fillId="0" borderId="23" xfId="0" applyFont="1" applyFill="1" applyBorder="1" applyAlignment="1">
      <alignment horizontal="left" wrapText="1" indent="2"/>
    </xf>
    <xf numFmtId="0" fontId="22" fillId="0" borderId="23" xfId="0" applyFont="1" applyFill="1" applyBorder="1" applyAlignment="1">
      <alignment horizontal="left" indent="2"/>
    </xf>
    <xf numFmtId="0" fontId="22" fillId="0" borderId="18" xfId="0" applyFont="1" applyFill="1" applyBorder="1" applyAlignment="1">
      <alignment horizontal="left" indent="2"/>
    </xf>
    <xf numFmtId="164" fontId="9" fillId="0" borderId="42" xfId="2" applyNumberFormat="1" applyFont="1" applyFill="1" applyBorder="1" applyAlignment="1">
      <alignment horizontal="right"/>
    </xf>
    <xf numFmtId="164" fontId="9" fillId="0" borderId="22" xfId="1" applyNumberFormat="1" applyFont="1" applyFill="1" applyBorder="1"/>
    <xf numFmtId="168" fontId="7" fillId="0" borderId="5" xfId="1" applyNumberFormat="1" applyFont="1" applyFill="1" applyBorder="1" applyAlignment="1">
      <alignment horizontal="right"/>
    </xf>
    <xf numFmtId="0" fontId="9" fillId="0" borderId="37" xfId="2" applyFont="1" applyFill="1" applyBorder="1" applyAlignment="1">
      <alignment horizontal="left" indent="1"/>
    </xf>
    <xf numFmtId="164" fontId="9" fillId="0" borderId="10" xfId="2" applyNumberFormat="1" applyFont="1" applyFill="1" applyBorder="1" applyAlignment="1">
      <alignment horizontal="right"/>
    </xf>
    <xf numFmtId="164" fontId="9" fillId="0" borderId="10" xfId="1" applyNumberFormat="1" applyFont="1" applyFill="1" applyBorder="1"/>
    <xf numFmtId="168" fontId="7" fillId="0" borderId="10" xfId="1" applyNumberFormat="1" applyFont="1" applyFill="1" applyBorder="1" applyAlignment="1">
      <alignment horizontal="right"/>
    </xf>
    <xf numFmtId="0" fontId="19" fillId="0" borderId="23" xfId="2" applyFont="1" applyFill="1" applyBorder="1" applyAlignment="1">
      <alignment horizontal="left" wrapText="1" indent="1"/>
    </xf>
    <xf numFmtId="166" fontId="19" fillId="0" borderId="7" xfId="2" applyNumberFormat="1" applyFont="1" applyFill="1" applyBorder="1"/>
    <xf numFmtId="0" fontId="9" fillId="0" borderId="18" xfId="2" applyFont="1" applyFill="1" applyBorder="1" applyAlignment="1">
      <alignment horizontal="left" indent="1"/>
    </xf>
    <xf numFmtId="168" fontId="9" fillId="0" borderId="26" xfId="1" applyNumberFormat="1" applyFont="1" applyFill="1" applyBorder="1" applyAlignment="1">
      <alignment horizontal="center"/>
    </xf>
    <xf numFmtId="168" fontId="16" fillId="0" borderId="21" xfId="1" applyNumberFormat="1" applyFont="1" applyFill="1" applyBorder="1" applyAlignment="1">
      <alignment horizontal="center"/>
    </xf>
    <xf numFmtId="0" fontId="7" fillId="0" borderId="33" xfId="0" applyFont="1" applyFill="1" applyBorder="1" applyAlignment="1">
      <alignment horizontal="left" indent="2"/>
    </xf>
    <xf numFmtId="0" fontId="9" fillId="0" borderId="47" xfId="0" applyFont="1" applyFill="1" applyBorder="1" applyAlignment="1">
      <alignment horizontal="left"/>
    </xf>
    <xf numFmtId="0" fontId="7" fillId="0" borderId="9" xfId="2" applyFont="1" applyFill="1" applyBorder="1"/>
    <xf numFmtId="0" fontId="9" fillId="0" borderId="44" xfId="2" applyFont="1" applyFill="1" applyBorder="1"/>
    <xf numFmtId="164" fontId="9" fillId="0" borderId="50" xfId="2" applyNumberFormat="1" applyFont="1" applyFill="1" applyBorder="1" applyAlignment="1">
      <alignment horizontal="right"/>
    </xf>
    <xf numFmtId="164" fontId="9" fillId="0" borderId="13" xfId="2" applyNumberFormat="1" applyFont="1" applyFill="1" applyBorder="1" applyAlignment="1">
      <alignment horizontal="right"/>
    </xf>
    <xf numFmtId="0" fontId="7" fillId="0" borderId="46" xfId="2" applyFont="1" applyFill="1" applyBorder="1"/>
    <xf numFmtId="164" fontId="7" fillId="0" borderId="21" xfId="2" applyNumberFormat="1" applyFont="1" applyFill="1" applyBorder="1"/>
    <xf numFmtId="164" fontId="7" fillId="0" borderId="26" xfId="2" applyNumberFormat="1" applyFont="1" applyFill="1" applyBorder="1"/>
    <xf numFmtId="166" fontId="7" fillId="0" borderId="12" xfId="2" applyNumberFormat="1" applyFont="1" applyFill="1" applyBorder="1"/>
    <xf numFmtId="0" fontId="15" fillId="0" borderId="33" xfId="0" applyFont="1" applyFill="1" applyBorder="1" applyAlignment="1">
      <alignment horizontal="left" wrapText="1" indent="2"/>
    </xf>
    <xf numFmtId="169" fontId="22" fillId="0" borderId="12" xfId="2" applyNumberFormat="1" applyFont="1" applyFill="1" applyBorder="1" applyAlignment="1">
      <alignment horizontal="center"/>
    </xf>
    <xf numFmtId="164" fontId="9" fillId="0" borderId="9" xfId="1" applyNumberFormat="1" applyFont="1" applyFill="1" applyBorder="1"/>
    <xf numFmtId="164" fontId="9" fillId="0" borderId="25" xfId="2" applyNumberFormat="1" applyFont="1" applyFill="1" applyBorder="1"/>
    <xf numFmtId="164" fontId="9" fillId="0" borderId="49" xfId="2" applyNumberFormat="1" applyFont="1" applyFill="1" applyBorder="1"/>
    <xf numFmtId="168" fontId="18" fillId="0" borderId="21" xfId="1" applyNumberFormat="1" applyFont="1" applyFill="1" applyBorder="1" applyAlignment="1">
      <alignment horizontal="center"/>
    </xf>
    <xf numFmtId="0" fontId="7" fillId="0" borderId="18" xfId="2" applyFont="1" applyFill="1" applyBorder="1" applyAlignment="1">
      <alignment horizontal="left" wrapText="1" indent="3"/>
    </xf>
    <xf numFmtId="0" fontId="7" fillId="0" borderId="23" xfId="2" applyFont="1" applyFill="1" applyBorder="1" applyAlignment="1">
      <alignment horizontal="left" wrapText="1" indent="3"/>
    </xf>
    <xf numFmtId="0" fontId="27" fillId="0" borderId="18" xfId="2" applyFont="1" applyFill="1" applyBorder="1" applyAlignment="1">
      <alignment horizontal="left" wrapText="1" indent="1"/>
    </xf>
    <xf numFmtId="0" fontId="9" fillId="0" borderId="48" xfId="2" applyFont="1" applyFill="1" applyBorder="1" applyAlignment="1">
      <alignment wrapText="1"/>
    </xf>
    <xf numFmtId="164" fontId="30" fillId="0" borderId="12" xfId="1" applyNumberFormat="1" applyFont="1" applyFill="1" applyBorder="1"/>
    <xf numFmtId="168" fontId="15" fillId="0" borderId="21" xfId="1" applyNumberFormat="1" applyFont="1" applyFill="1" applyBorder="1" applyAlignment="1">
      <alignment horizontal="center"/>
    </xf>
    <xf numFmtId="164" fontId="30" fillId="0" borderId="26" xfId="1" applyNumberFormat="1" applyFont="1" applyFill="1" applyBorder="1"/>
    <xf numFmtId="0" fontId="9" fillId="0" borderId="44" xfId="2" applyFont="1" applyFill="1" applyBorder="1" applyAlignment="1">
      <alignment horizontal="left"/>
    </xf>
    <xf numFmtId="175" fontId="9" fillId="0" borderId="7" xfId="1" applyNumberFormat="1" applyFont="1" applyFill="1" applyBorder="1"/>
    <xf numFmtId="164" fontId="30" fillId="0" borderId="12" xfId="1" applyNumberFormat="1" applyFont="1" applyFill="1" applyBorder="1" applyAlignment="1"/>
    <xf numFmtId="164" fontId="30" fillId="0" borderId="26" xfId="1" applyNumberFormat="1" applyFont="1" applyFill="1" applyBorder="1" applyAlignment="1"/>
    <xf numFmtId="164" fontId="8" fillId="0" borderId="26" xfId="1" applyNumberFormat="1" applyFont="1" applyFill="1" applyBorder="1" applyAlignment="1"/>
    <xf numFmtId="0" fontId="9" fillId="0" borderId="44" xfId="2" applyFont="1" applyFill="1" applyBorder="1" applyAlignment="1">
      <alignment horizontal="left" wrapText="1"/>
    </xf>
    <xf numFmtId="164" fontId="8" fillId="0" borderId="12" xfId="1" applyNumberFormat="1" applyFont="1" applyFill="1" applyBorder="1"/>
    <xf numFmtId="168" fontId="9" fillId="0" borderId="26" xfId="1" applyNumberFormat="1" applyFont="1" applyFill="1" applyBorder="1"/>
    <xf numFmtId="168" fontId="15" fillId="0" borderId="26" xfId="1" applyNumberFormat="1" applyFont="1" applyFill="1" applyBorder="1" applyAlignment="1">
      <alignment horizontal="center"/>
    </xf>
    <xf numFmtId="0" fontId="22" fillId="0" borderId="33" xfId="0" applyFont="1" applyFill="1" applyBorder="1" applyAlignment="1">
      <alignment horizontal="left" wrapText="1" indent="2"/>
    </xf>
    <xf numFmtId="0" fontId="9" fillId="0" borderId="46" xfId="2" applyFont="1" applyFill="1" applyBorder="1" applyAlignment="1">
      <alignment horizontal="left" indent="2"/>
    </xf>
    <xf numFmtId="0" fontId="7" fillId="0" borderId="46" xfId="2" applyFont="1" applyFill="1" applyBorder="1" applyAlignment="1">
      <alignment wrapText="1"/>
    </xf>
    <xf numFmtId="164" fontId="7" fillId="0" borderId="49" xfId="1" applyNumberFormat="1" applyFont="1" applyFill="1" applyBorder="1"/>
    <xf numFmtId="164" fontId="7" fillId="0" borderId="17" xfId="1" applyNumberFormat="1" applyFont="1" applyFill="1" applyBorder="1"/>
    <xf numFmtId="164" fontId="7" fillId="0" borderId="50" xfId="1" applyNumberFormat="1" applyFont="1" applyFill="1" applyBorder="1"/>
    <xf numFmtId="164" fontId="7" fillId="0" borderId="13" xfId="1" applyNumberFormat="1" applyFont="1" applyFill="1" applyBorder="1"/>
    <xf numFmtId="168" fontId="7" fillId="0" borderId="26" xfId="1" applyNumberFormat="1" applyFont="1" applyFill="1" applyBorder="1" applyAlignment="1">
      <alignment horizontal="right"/>
    </xf>
    <xf numFmtId="0" fontId="7" fillId="0" borderId="31" xfId="2" applyFont="1" applyFill="1" applyBorder="1"/>
    <xf numFmtId="164" fontId="9" fillId="0" borderId="49" xfId="1" applyNumberFormat="1" applyFont="1" applyFill="1" applyBorder="1"/>
    <xf numFmtId="164" fontId="9" fillId="0" borderId="17" xfId="1" applyNumberFormat="1" applyFont="1" applyFill="1" applyBorder="1"/>
    <xf numFmtId="0" fontId="9" fillId="0" borderId="47" xfId="2" applyFont="1" applyFill="1" applyBorder="1" applyAlignment="1">
      <alignment horizontal="left" indent="2"/>
    </xf>
    <xf numFmtId="164" fontId="7" fillId="0" borderId="49" xfId="2" applyNumberFormat="1" applyFont="1" applyFill="1" applyBorder="1"/>
    <xf numFmtId="0" fontId="15" fillId="0" borderId="18" xfId="2" applyFont="1" applyFill="1" applyBorder="1" applyAlignment="1">
      <alignment horizontal="left" indent="2"/>
    </xf>
    <xf numFmtId="166" fontId="15" fillId="0" borderId="7" xfId="2" applyNumberFormat="1" applyFont="1" applyFill="1" applyBorder="1" applyAlignment="1">
      <alignment horizontal="left" indent="1"/>
    </xf>
    <xf numFmtId="0" fontId="22" fillId="0" borderId="18" xfId="2" applyFont="1" applyFill="1" applyBorder="1" applyAlignment="1">
      <alignment horizontal="left" indent="2"/>
    </xf>
    <xf numFmtId="0" fontId="15" fillId="0" borderId="18" xfId="2" applyFont="1" applyFill="1" applyBorder="1" applyAlignment="1">
      <alignment horizontal="left" vertical="justify" indent="2"/>
    </xf>
    <xf numFmtId="166" fontId="15" fillId="0" borderId="12" xfId="2" applyNumberFormat="1" applyFont="1" applyFill="1" applyBorder="1" applyAlignment="1">
      <alignment horizontal="left" indent="1"/>
    </xf>
    <xf numFmtId="0" fontId="16" fillId="0" borderId="18" xfId="2" applyFont="1" applyFill="1" applyBorder="1" applyAlignment="1">
      <alignment horizontal="left" indent="1"/>
    </xf>
    <xf numFmtId="164" fontId="16" fillId="0" borderId="7" xfId="3" applyNumberFormat="1" applyFont="1" applyFill="1" applyBorder="1" applyAlignment="1">
      <alignment horizontal="left"/>
    </xf>
    <xf numFmtId="0" fontId="34" fillId="0" borderId="18" xfId="2" applyFont="1" applyFill="1" applyBorder="1" applyAlignment="1">
      <alignment horizontal="left" wrapText="1" indent="1"/>
    </xf>
    <xf numFmtId="0" fontId="7" fillId="0" borderId="21" xfId="0" applyFont="1" applyFill="1" applyBorder="1" applyAlignment="1">
      <alignment horizontal="left" vertical="top" wrapText="1" indent="2"/>
    </xf>
    <xf numFmtId="0" fontId="7" fillId="0" borderId="26" xfId="0" applyFont="1" applyFill="1" applyBorder="1" applyAlignment="1">
      <alignment horizontal="left" vertical="top" wrapText="1" indent="2"/>
    </xf>
    <xf numFmtId="0" fontId="7" fillId="0" borderId="18" xfId="2" applyFont="1" applyFill="1" applyBorder="1" applyAlignment="1">
      <alignment horizontal="left" wrapText="1" indent="1"/>
    </xf>
    <xf numFmtId="164" fontId="19" fillId="0" borderId="7" xfId="0" applyNumberFormat="1" applyFont="1" applyFill="1" applyBorder="1" applyAlignment="1">
      <alignment horizontal="left" vertical="top" wrapText="1" indent="2"/>
    </xf>
    <xf numFmtId="164" fontId="19" fillId="0" borderId="12" xfId="0" applyNumberFormat="1" applyFont="1" applyFill="1" applyBorder="1" applyAlignment="1">
      <alignment horizontal="left" vertical="top" wrapText="1" indent="2"/>
    </xf>
    <xf numFmtId="0" fontId="15" fillId="0" borderId="33" xfId="2" applyFont="1" applyFill="1" applyBorder="1" applyAlignment="1">
      <alignment horizontal="left" indent="2"/>
    </xf>
    <xf numFmtId="164" fontId="7" fillId="0" borderId="7" xfId="8" applyNumberFormat="1" applyFont="1" applyFill="1" applyBorder="1"/>
    <xf numFmtId="173" fontId="7" fillId="0" borderId="12" xfId="2" applyNumberFormat="1" applyFont="1" applyFill="1" applyBorder="1" applyAlignment="1">
      <alignment horizontal="center"/>
    </xf>
    <xf numFmtId="0" fontId="25" fillId="0" borderId="33" xfId="2" applyFont="1" applyFill="1" applyBorder="1" applyAlignment="1">
      <alignment horizontal="left" indent="2"/>
    </xf>
    <xf numFmtId="0" fontId="9" fillId="0" borderId="33" xfId="2" applyFont="1" applyFill="1" applyBorder="1" applyAlignment="1">
      <alignment vertical="center" wrapText="1"/>
    </xf>
    <xf numFmtId="0" fontId="23" fillId="0" borderId="18" xfId="2" applyFont="1" applyFill="1" applyBorder="1" applyAlignment="1">
      <alignment horizontal="left" vertical="justify" indent="2"/>
    </xf>
    <xf numFmtId="3" fontId="7" fillId="0" borderId="21" xfId="0" applyNumberFormat="1" applyFont="1" applyFill="1" applyBorder="1" applyAlignment="1">
      <alignment horizontal="left" wrapText="1" indent="2"/>
    </xf>
    <xf numFmtId="0" fontId="11" fillId="0" borderId="7" xfId="0" applyFont="1" applyFill="1" applyBorder="1" applyAlignment="1">
      <alignment horizontal="left" vertical="top" wrapText="1" indent="2"/>
    </xf>
    <xf numFmtId="164" fontId="16" fillId="0" borderId="5" xfId="3" applyNumberFormat="1" applyFont="1" applyFill="1" applyBorder="1" applyAlignment="1">
      <alignment horizontal="left"/>
    </xf>
    <xf numFmtId="3" fontId="9" fillId="0" borderId="22" xfId="0" applyNumberFormat="1" applyFont="1" applyFill="1" applyBorder="1" applyAlignment="1">
      <alignment horizontal="left" wrapText="1" indent="2"/>
    </xf>
    <xf numFmtId="0" fontId="11" fillId="0" borderId="5" xfId="0" applyFont="1" applyFill="1" applyBorder="1" applyAlignment="1">
      <alignment horizontal="left" vertical="top" wrapText="1" indent="2"/>
    </xf>
    <xf numFmtId="164" fontId="19" fillId="0" borderId="5" xfId="1" applyNumberFormat="1" applyFont="1" applyFill="1" applyBorder="1"/>
    <xf numFmtId="0" fontId="16" fillId="0" borderId="47" xfId="2" applyFont="1" applyFill="1" applyBorder="1" applyAlignment="1">
      <alignment horizontal="left"/>
    </xf>
    <xf numFmtId="164" fontId="7" fillId="0" borderId="17" xfId="2" applyNumberFormat="1" applyFont="1" applyFill="1" applyBorder="1" applyAlignment="1">
      <alignment horizontal="center"/>
    </xf>
    <xf numFmtId="164" fontId="16" fillId="0" borderId="49" xfId="2" applyNumberFormat="1" applyFont="1" applyFill="1" applyBorder="1"/>
    <xf numFmtId="164" fontId="16" fillId="0" borderId="17" xfId="2" applyNumberFormat="1" applyFont="1" applyFill="1" applyBorder="1"/>
    <xf numFmtId="164" fontId="7" fillId="0" borderId="1" xfId="2" applyNumberFormat="1" applyFont="1" applyFill="1" applyBorder="1" applyAlignment="1">
      <alignment horizontal="center"/>
    </xf>
    <xf numFmtId="164" fontId="9" fillId="0" borderId="49" xfId="2" applyNumberFormat="1" applyFont="1" applyFill="1" applyBorder="1" applyAlignment="1">
      <alignment horizontal="center"/>
    </xf>
    <xf numFmtId="164" fontId="9" fillId="0" borderId="17" xfId="2" applyNumberFormat="1" applyFont="1" applyFill="1" applyBorder="1" applyAlignment="1">
      <alignment horizontal="center"/>
    </xf>
    <xf numFmtId="0" fontId="9" fillId="0" borderId="33" xfId="2" applyFont="1" applyFill="1" applyBorder="1" applyAlignment="1">
      <alignment horizontal="left" indent="1"/>
    </xf>
    <xf numFmtId="164" fontId="9" fillId="0" borderId="42" xfId="2" applyNumberFormat="1" applyFont="1" applyFill="1" applyBorder="1"/>
    <xf numFmtId="164" fontId="15" fillId="0" borderId="17" xfId="3" applyNumberFormat="1" applyFont="1" applyFill="1" applyBorder="1" applyAlignment="1">
      <alignment horizontal="left"/>
    </xf>
    <xf numFmtId="167" fontId="18" fillId="0" borderId="17" xfId="2" applyNumberFormat="1" applyFont="1" applyFill="1" applyBorder="1" applyAlignment="1">
      <alignment horizontal="center"/>
    </xf>
    <xf numFmtId="164" fontId="9" fillId="0" borderId="21" xfId="2" applyNumberFormat="1" applyFont="1" applyFill="1" applyBorder="1"/>
    <xf numFmtId="0" fontId="4" fillId="0" borderId="23" xfId="2" applyFont="1" applyFill="1" applyBorder="1" applyAlignment="1">
      <alignment horizontal="left" vertical="top" wrapText="1" indent="2"/>
    </xf>
    <xf numFmtId="164" fontId="9" fillId="0" borderId="1" xfId="2" applyNumberFormat="1" applyFont="1" applyFill="1" applyBorder="1" applyAlignment="1">
      <alignment horizontal="center"/>
    </xf>
    <xf numFmtId="164" fontId="9" fillId="0" borderId="24" xfId="2" applyNumberFormat="1" applyFont="1" applyFill="1" applyBorder="1" applyAlignment="1">
      <alignment horizontal="center"/>
    </xf>
    <xf numFmtId="164" fontId="7" fillId="0" borderId="21" xfId="2" applyNumberFormat="1" applyFont="1" applyFill="1" applyBorder="1" applyAlignment="1">
      <alignment horizontal="center"/>
    </xf>
    <xf numFmtId="0" fontId="7" fillId="0" borderId="18" xfId="2" applyFont="1" applyFill="1" applyBorder="1" applyAlignment="1">
      <alignment wrapText="1"/>
    </xf>
    <xf numFmtId="0" fontId="9" fillId="0" borderId="49" xfId="2" applyFont="1" applyFill="1" applyBorder="1"/>
    <xf numFmtId="0" fontId="9" fillId="0" borderId="7" xfId="0" applyFont="1" applyFill="1" applyBorder="1" applyAlignment="1">
      <alignment horizontal="left" vertical="top" wrapText="1" indent="2"/>
    </xf>
    <xf numFmtId="168" fontId="9" fillId="0" borderId="26" xfId="1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wrapText="1"/>
    </xf>
    <xf numFmtId="164" fontId="7" fillId="0" borderId="12" xfId="1" applyNumberFormat="1" applyFont="1" applyFill="1" applyBorder="1" applyAlignment="1">
      <alignment horizontal="center"/>
    </xf>
    <xf numFmtId="0" fontId="11" fillId="0" borderId="18" xfId="0" applyFont="1" applyFill="1" applyBorder="1" applyAlignment="1">
      <alignment horizontal="left" wrapText="1" indent="1"/>
    </xf>
    <xf numFmtId="164" fontId="16" fillId="0" borderId="7" xfId="2" applyNumberFormat="1" applyFont="1" applyFill="1" applyBorder="1" applyAlignment="1">
      <alignment horizontal="right"/>
    </xf>
    <xf numFmtId="164" fontId="22" fillId="0" borderId="7" xfId="2" applyNumberFormat="1" applyFont="1" applyFill="1" applyBorder="1" applyAlignment="1">
      <alignment horizontal="right"/>
    </xf>
    <xf numFmtId="166" fontId="15" fillId="0" borderId="12" xfId="6" applyNumberFormat="1" applyFont="1" applyFill="1" applyBorder="1"/>
    <xf numFmtId="164" fontId="25" fillId="0" borderId="7" xfId="2" applyNumberFormat="1" applyFont="1" applyFill="1" applyBorder="1" applyAlignment="1">
      <alignment horizontal="right"/>
    </xf>
    <xf numFmtId="166" fontId="18" fillId="0" borderId="7" xfId="6" applyNumberFormat="1" applyFont="1" applyFill="1" applyBorder="1"/>
    <xf numFmtId="166" fontId="22" fillId="0" borderId="7" xfId="6" applyNumberFormat="1" applyFont="1" applyFill="1" applyBorder="1"/>
    <xf numFmtId="164" fontId="26" fillId="0" borderId="7" xfId="6" applyNumberFormat="1" applyFont="1" applyFill="1" applyBorder="1"/>
    <xf numFmtId="164" fontId="11" fillId="0" borderId="7" xfId="1" applyNumberFormat="1" applyFont="1" applyFill="1" applyBorder="1"/>
    <xf numFmtId="164" fontId="11" fillId="0" borderId="5" xfId="1" applyNumberFormat="1" applyFont="1" applyFill="1" applyBorder="1"/>
    <xf numFmtId="0" fontId="33" fillId="0" borderId="5" xfId="2" applyFont="1" applyFill="1" applyBorder="1" applyAlignment="1">
      <alignment horizontal="left" vertical="justify" indent="2"/>
    </xf>
    <xf numFmtId="172" fontId="15" fillId="0" borderId="5" xfId="6" applyNumberFormat="1" applyFont="1" applyFill="1" applyBorder="1"/>
    <xf numFmtId="164" fontId="15" fillId="0" borderId="5" xfId="6" applyNumberFormat="1" applyFont="1" applyFill="1" applyBorder="1" applyAlignment="1">
      <alignment horizontal="center"/>
    </xf>
    <xf numFmtId="164" fontId="11" fillId="0" borderId="7" xfId="0" applyNumberFormat="1" applyFont="1" applyFill="1" applyBorder="1" applyAlignment="1">
      <alignment horizontal="left" indent="1"/>
    </xf>
    <xf numFmtId="166" fontId="22" fillId="0" borderId="7" xfId="6" applyNumberFormat="1" applyFont="1" applyFill="1" applyBorder="1" applyAlignment="1">
      <alignment horizontal="center"/>
    </xf>
    <xf numFmtId="166" fontId="22" fillId="0" borderId="12" xfId="6" applyNumberFormat="1" applyFont="1" applyFill="1" applyBorder="1" applyAlignment="1">
      <alignment horizontal="center"/>
    </xf>
    <xf numFmtId="164" fontId="25" fillId="0" borderId="12" xfId="6" applyNumberFormat="1" applyFont="1" applyFill="1" applyBorder="1" applyAlignment="1">
      <alignment horizontal="center"/>
    </xf>
    <xf numFmtId="164" fontId="15" fillId="0" borderId="8" xfId="6" applyNumberFormat="1" applyFont="1" applyFill="1" applyBorder="1"/>
    <xf numFmtId="172" fontId="16" fillId="0" borderId="13" xfId="6" applyNumberFormat="1" applyFont="1" applyFill="1" applyBorder="1"/>
    <xf numFmtId="172" fontId="16" fillId="0" borderId="5" xfId="6" applyNumberFormat="1" applyFont="1" applyFill="1" applyBorder="1" applyAlignment="1">
      <alignment horizontal="left"/>
    </xf>
    <xf numFmtId="0" fontId="15" fillId="0" borderId="7" xfId="2" applyFont="1" applyFill="1" applyBorder="1" applyAlignment="1">
      <alignment horizontal="left" wrapText="1" indent="1"/>
    </xf>
    <xf numFmtId="164" fontId="16" fillId="0" borderId="10" xfId="2" applyNumberFormat="1" applyFont="1" applyFill="1" applyBorder="1"/>
    <xf numFmtId="166" fontId="26" fillId="0" borderId="12" xfId="6" applyNumberFormat="1" applyFont="1" applyFill="1" applyBorder="1"/>
    <xf numFmtId="0" fontId="26" fillId="0" borderId="8" xfId="2" applyFont="1" applyFill="1" applyBorder="1" applyAlignment="1">
      <alignment horizontal="left" indent="2"/>
    </xf>
    <xf numFmtId="0" fontId="7" fillId="0" borderId="9" xfId="2" applyFont="1" applyFill="1" applyBorder="1" applyAlignment="1">
      <alignment wrapText="1"/>
    </xf>
    <xf numFmtId="164" fontId="16" fillId="0" borderId="9" xfId="6" applyNumberFormat="1" applyFont="1" applyFill="1" applyBorder="1"/>
    <xf numFmtId="164" fontId="7" fillId="0" borderId="9" xfId="1" applyNumberFormat="1" applyFont="1" applyFill="1" applyBorder="1"/>
    <xf numFmtId="167" fontId="9" fillId="0" borderId="9" xfId="1" applyNumberFormat="1" applyFont="1" applyFill="1" applyBorder="1" applyAlignment="1">
      <alignment horizontal="center"/>
    </xf>
    <xf numFmtId="0" fontId="16" fillId="0" borderId="17" xfId="2" applyFont="1" applyFill="1" applyBorder="1" applyAlignment="1">
      <alignment horizontal="left"/>
    </xf>
    <xf numFmtId="0" fontId="15" fillId="0" borderId="7" xfId="0" applyFont="1" applyFill="1" applyBorder="1" applyAlignment="1">
      <alignment horizontal="left" vertical="justify" indent="2"/>
    </xf>
    <xf numFmtId="0" fontId="15" fillId="0" borderId="8" xfId="2" applyFont="1" applyFill="1" applyBorder="1" applyAlignment="1">
      <alignment horizontal="left" indent="2"/>
    </xf>
    <xf numFmtId="0" fontId="16" fillId="0" borderId="17" xfId="2" applyFont="1" applyFill="1" applyBorder="1"/>
    <xf numFmtId="164" fontId="16" fillId="0" borderId="17" xfId="6" applyNumberFormat="1" applyFont="1" applyFill="1" applyBorder="1"/>
    <xf numFmtId="0" fontId="15" fillId="0" borderId="7" xfId="0" applyFont="1" applyFill="1" applyBorder="1" applyAlignment="1">
      <alignment horizontal="left" vertical="justify" wrapText="1" indent="2"/>
    </xf>
    <xf numFmtId="164" fontId="7" fillId="0" borderId="8" xfId="2" applyNumberFormat="1" applyFont="1" applyFill="1" applyBorder="1" applyAlignment="1">
      <alignment horizontal="right"/>
    </xf>
    <xf numFmtId="0" fontId="15" fillId="0" borderId="12" xfId="0" applyFont="1" applyFill="1" applyBorder="1" applyAlignment="1">
      <alignment horizontal="left" wrapText="1" indent="2"/>
    </xf>
    <xf numFmtId="164" fontId="7" fillId="0" borderId="5" xfId="2" applyNumberFormat="1" applyFont="1" applyFill="1" applyBorder="1" applyAlignment="1">
      <alignment horizontal="right"/>
    </xf>
    <xf numFmtId="164" fontId="7" fillId="0" borderId="9" xfId="2" applyNumberFormat="1" applyFont="1" applyFill="1" applyBorder="1" applyAlignment="1">
      <alignment horizontal="right"/>
    </xf>
    <xf numFmtId="164" fontId="16" fillId="0" borderId="20" xfId="6" applyNumberFormat="1" applyFont="1" applyFill="1" applyBorder="1"/>
    <xf numFmtId="164" fontId="15" fillId="0" borderId="7" xfId="2" applyNumberFormat="1" applyFont="1" applyFill="1" applyBorder="1" applyAlignment="1">
      <alignment horizontal="right"/>
    </xf>
    <xf numFmtId="176" fontId="15" fillId="0" borderId="7" xfId="6" applyNumberFormat="1" applyFont="1" applyFill="1" applyBorder="1"/>
    <xf numFmtId="164" fontId="15" fillId="0" borderId="8" xfId="2" applyNumberFormat="1" applyFont="1" applyFill="1" applyBorder="1" applyAlignment="1">
      <alignment horizontal="right"/>
    </xf>
    <xf numFmtId="177" fontId="9" fillId="0" borderId="12" xfId="1" applyNumberFormat="1" applyFont="1" applyFill="1" applyBorder="1" applyAlignment="1">
      <alignment horizontal="center"/>
    </xf>
    <xf numFmtId="0" fontId="16" fillId="0" borderId="20" xfId="2" applyFont="1" applyFill="1" applyBorder="1"/>
    <xf numFmtId="164" fontId="16" fillId="0" borderId="1" xfId="6" applyNumberFormat="1" applyFont="1" applyFill="1" applyBorder="1"/>
    <xf numFmtId="168" fontId="19" fillId="0" borderId="12" xfId="2" applyNumberFormat="1" applyFont="1" applyFill="1" applyBorder="1" applyAlignment="1">
      <alignment horizontal="center"/>
    </xf>
    <xf numFmtId="0" fontId="19" fillId="0" borderId="12" xfId="2" applyFont="1" applyFill="1" applyBorder="1" applyAlignment="1">
      <alignment horizontal="center"/>
    </xf>
    <xf numFmtId="0" fontId="16" fillId="0" borderId="13" xfId="2" applyFont="1" applyFill="1" applyBorder="1"/>
    <xf numFmtId="164" fontId="16" fillId="0" borderId="13" xfId="6" applyNumberFormat="1" applyFont="1" applyFill="1" applyBorder="1"/>
    <xf numFmtId="0" fontId="16" fillId="0" borderId="1" xfId="2" applyFont="1" applyFill="1" applyBorder="1"/>
    <xf numFmtId="0" fontId="9" fillId="0" borderId="19" xfId="2" applyFont="1" applyFill="1" applyBorder="1" applyAlignment="1">
      <alignment horizontal="left" indent="1"/>
    </xf>
    <xf numFmtId="164" fontId="18" fillId="0" borderId="7" xfId="6" applyNumberFormat="1" applyFont="1" applyFill="1" applyBorder="1" applyAlignment="1">
      <alignment horizontal="center"/>
    </xf>
    <xf numFmtId="0" fontId="6" fillId="0" borderId="28" xfId="2" applyFont="1" applyFill="1" applyBorder="1" applyAlignment="1">
      <alignment horizontal="left" indent="2"/>
    </xf>
    <xf numFmtId="0" fontId="4" fillId="0" borderId="29" xfId="2" applyFont="1" applyFill="1" applyBorder="1" applyAlignment="1">
      <alignment horizontal="left" vertical="top" wrapText="1" indent="2"/>
    </xf>
    <xf numFmtId="164" fontId="18" fillId="0" borderId="5" xfId="6" applyNumberFormat="1" applyFont="1" applyFill="1" applyBorder="1" applyAlignment="1">
      <alignment horizontal="center"/>
    </xf>
    <xf numFmtId="0" fontId="9" fillId="0" borderId="18" xfId="2" applyFont="1" applyFill="1" applyBorder="1" applyAlignment="1">
      <alignment horizontal="left" wrapText="1" indent="1"/>
    </xf>
    <xf numFmtId="0" fontId="34" fillId="0" borderId="7" xfId="0" applyFont="1" applyFill="1" applyBorder="1" applyAlignment="1">
      <alignment horizontal="center"/>
    </xf>
    <xf numFmtId="171" fontId="9" fillId="0" borderId="12" xfId="1" applyNumberFormat="1" applyFont="1" applyFill="1" applyBorder="1"/>
    <xf numFmtId="0" fontId="7" fillId="0" borderId="39" xfId="0" applyFont="1" applyFill="1" applyBorder="1" applyAlignment="1">
      <alignment horizontal="left" wrapText="1" indent="2"/>
    </xf>
    <xf numFmtId="0" fontId="7" fillId="0" borderId="39" xfId="2" applyFont="1" applyFill="1" applyBorder="1" applyAlignment="1">
      <alignment horizontal="left" wrapText="1" indent="3"/>
    </xf>
    <xf numFmtId="3" fontId="15" fillId="0" borderId="20" xfId="2" applyNumberFormat="1" applyFont="1" applyFill="1" applyBorder="1" applyAlignment="1">
      <alignment horizontal="center"/>
    </xf>
    <xf numFmtId="168" fontId="14" fillId="0" borderId="20" xfId="1" applyNumberFormat="1" applyFont="1" applyFill="1" applyBorder="1"/>
    <xf numFmtId="164" fontId="7" fillId="0" borderId="12" xfId="1" applyNumberFormat="1" applyFont="1" applyFill="1" applyBorder="1" applyAlignment="1">
      <alignment horizontal="left" indent="1"/>
    </xf>
    <xf numFmtId="164" fontId="9" fillId="0" borderId="30" xfId="2" applyNumberFormat="1" applyFont="1" applyFill="1" applyBorder="1"/>
    <xf numFmtId="0" fontId="7" fillId="0" borderId="20" xfId="2" applyFont="1" applyFill="1" applyBorder="1" applyAlignment="1">
      <alignment wrapText="1"/>
    </xf>
    <xf numFmtId="0" fontId="16" fillId="0" borderId="7" xfId="10" applyFont="1" applyFill="1" applyBorder="1" applyAlignment="1" applyProtection="1">
      <alignment wrapText="1"/>
    </xf>
    <xf numFmtId="169" fontId="15" fillId="0" borderId="7" xfId="7" applyNumberFormat="1" applyFont="1" applyFill="1" applyBorder="1" applyAlignment="1">
      <alignment horizontal="right"/>
    </xf>
    <xf numFmtId="0" fontId="35" fillId="0" borderId="7" xfId="2" applyFont="1" applyFill="1" applyBorder="1" applyAlignment="1">
      <alignment horizontal="left" wrapText="1" indent="1"/>
    </xf>
    <xf numFmtId="164" fontId="36" fillId="0" borderId="7" xfId="2" applyNumberFormat="1" applyFont="1" applyFill="1" applyBorder="1"/>
    <xf numFmtId="3" fontId="34" fillId="0" borderId="12" xfId="1" applyNumberFormat="1" applyFont="1" applyFill="1" applyBorder="1"/>
    <xf numFmtId="168" fontId="34" fillId="0" borderId="12" xfId="1" applyNumberFormat="1" applyFont="1" applyFill="1" applyBorder="1"/>
    <xf numFmtId="3" fontId="11" fillId="0" borderId="12" xfId="1" applyNumberFormat="1" applyFont="1" applyFill="1" applyBorder="1"/>
    <xf numFmtId="0" fontId="23" fillId="0" borderId="8" xfId="2" applyFont="1" applyFill="1" applyBorder="1" applyAlignment="1">
      <alignment horizontal="left" indent="1"/>
    </xf>
    <xf numFmtId="0" fontId="15" fillId="0" borderId="14" xfId="2" applyFont="1" applyFill="1" applyBorder="1"/>
    <xf numFmtId="167" fontId="9" fillId="0" borderId="0" xfId="1" applyNumberFormat="1" applyFont="1" applyFill="1" applyBorder="1" applyAlignment="1">
      <alignment horizontal="center"/>
    </xf>
    <xf numFmtId="3" fontId="25" fillId="0" borderId="7" xfId="1" applyNumberFormat="1" applyFont="1" applyFill="1" applyBorder="1" applyAlignment="1">
      <alignment horizontal="center"/>
    </xf>
    <xf numFmtId="168" fontId="25" fillId="0" borderId="7" xfId="1" applyNumberFormat="1" applyFont="1" applyFill="1" applyBorder="1" applyAlignment="1">
      <alignment horizontal="center"/>
    </xf>
    <xf numFmtId="168" fontId="25" fillId="0" borderId="12" xfId="1" applyNumberFormat="1" applyFont="1" applyFill="1" applyBorder="1" applyAlignment="1">
      <alignment horizontal="center"/>
    </xf>
    <xf numFmtId="3" fontId="18" fillId="0" borderId="8" xfId="1" applyNumberFormat="1" applyFont="1" applyFill="1" applyBorder="1" applyAlignment="1">
      <alignment horizontal="center"/>
    </xf>
    <xf numFmtId="164" fontId="22" fillId="0" borderId="12" xfId="2" applyNumberFormat="1" applyFont="1" applyFill="1" applyBorder="1"/>
    <xf numFmtId="3" fontId="22" fillId="0" borderId="12" xfId="2" applyNumberFormat="1" applyFont="1" applyFill="1" applyBorder="1"/>
    <xf numFmtId="3" fontId="18" fillId="0" borderId="12" xfId="2" applyNumberFormat="1" applyFont="1" applyFill="1" applyBorder="1"/>
    <xf numFmtId="0" fontId="16" fillId="0" borderId="31" xfId="10" applyFont="1" applyFill="1" applyBorder="1" applyAlignment="1" applyProtection="1">
      <alignment wrapText="1"/>
    </xf>
    <xf numFmtId="164" fontId="25" fillId="0" borderId="7" xfId="2" applyNumberFormat="1" applyFont="1" applyFill="1" applyBorder="1"/>
    <xf numFmtId="164" fontId="7" fillId="0" borderId="26" xfId="2" applyNumberFormat="1" applyFont="1" applyFill="1" applyBorder="1" applyAlignment="1">
      <alignment horizontal="right"/>
    </xf>
    <xf numFmtId="0" fontId="9" fillId="0" borderId="18" xfId="0" applyFont="1" applyFill="1" applyBorder="1" applyAlignment="1">
      <alignment horizontal="left" indent="1"/>
    </xf>
    <xf numFmtId="0" fontId="18" fillId="0" borderId="33" xfId="0" applyFont="1" applyFill="1" applyBorder="1" applyAlignment="1">
      <alignment horizontal="left" wrapText="1" indent="2"/>
    </xf>
    <xf numFmtId="164" fontId="9" fillId="0" borderId="26" xfId="2" applyNumberFormat="1" applyFont="1" applyFill="1" applyBorder="1"/>
    <xf numFmtId="0" fontId="7" fillId="0" borderId="8" xfId="0" applyFont="1" applyFill="1" applyBorder="1" applyAlignment="1">
      <alignment wrapText="1"/>
    </xf>
    <xf numFmtId="0" fontId="29" fillId="0" borderId="19" xfId="2" applyFont="1" applyFill="1" applyBorder="1" applyAlignment="1">
      <alignment horizontal="left" vertical="justify" indent="2"/>
    </xf>
    <xf numFmtId="164" fontId="7" fillId="0" borderId="22" xfId="1" applyNumberFormat="1" applyFont="1" applyFill="1" applyBorder="1"/>
    <xf numFmtId="167" fontId="9" fillId="0" borderId="22" xfId="1" applyNumberFormat="1" applyFont="1" applyFill="1" applyBorder="1" applyAlignment="1">
      <alignment horizontal="center"/>
    </xf>
    <xf numFmtId="164" fontId="9" fillId="0" borderId="12" xfId="2" applyNumberFormat="1" applyFont="1" applyFill="1" applyBorder="1" applyAlignment="1">
      <alignment horizontal="center"/>
    </xf>
    <xf numFmtId="0" fontId="16" fillId="0" borderId="41" xfId="2" applyFont="1" applyFill="1" applyBorder="1" applyAlignment="1">
      <alignment horizontal="left"/>
    </xf>
    <xf numFmtId="0" fontId="15" fillId="0" borderId="35" xfId="2" applyFont="1" applyFill="1" applyBorder="1"/>
    <xf numFmtId="3" fontId="15" fillId="0" borderId="35" xfId="2" applyNumberFormat="1" applyFont="1" applyFill="1" applyBorder="1"/>
    <xf numFmtId="0" fontId="15" fillId="0" borderId="36" xfId="2" applyFont="1" applyFill="1" applyBorder="1"/>
    <xf numFmtId="0" fontId="16" fillId="0" borderId="39" xfId="2" applyFont="1" applyFill="1" applyBorder="1"/>
    <xf numFmtId="0" fontId="15" fillId="0" borderId="19" xfId="2" applyFont="1" applyFill="1" applyBorder="1"/>
    <xf numFmtId="3" fontId="15" fillId="0" borderId="19" xfId="2" applyNumberFormat="1" applyFont="1" applyFill="1" applyBorder="1"/>
    <xf numFmtId="167" fontId="9" fillId="0" borderId="19" xfId="1" applyNumberFormat="1" applyFont="1" applyFill="1" applyBorder="1" applyAlignment="1">
      <alignment horizontal="center"/>
    </xf>
    <xf numFmtId="3" fontId="15" fillId="0" borderId="37" xfId="2" applyNumberFormat="1" applyFont="1" applyFill="1" applyBorder="1"/>
    <xf numFmtId="0" fontId="16" fillId="0" borderId="39" xfId="2" applyFont="1" applyFill="1" applyBorder="1" applyAlignment="1">
      <alignment horizontal="left" wrapText="1" indent="1" shrinkToFit="1"/>
    </xf>
    <xf numFmtId="0" fontId="11" fillId="0" borderId="39" xfId="0" applyFont="1" applyFill="1" applyBorder="1" applyAlignment="1">
      <alignment horizontal="left" wrapText="1" indent="1"/>
    </xf>
    <xf numFmtId="0" fontId="9" fillId="0" borderId="39" xfId="0" applyFont="1" applyFill="1" applyBorder="1" applyAlignment="1">
      <alignment horizontal="left" wrapText="1" indent="2"/>
    </xf>
    <xf numFmtId="0" fontId="7" fillId="0" borderId="39" xfId="0" applyFont="1" applyFill="1" applyBorder="1" applyAlignment="1">
      <alignment horizontal="left" vertical="top" wrapText="1" indent="2"/>
    </xf>
    <xf numFmtId="0" fontId="9" fillId="0" borderId="39" xfId="2" applyFont="1" applyFill="1" applyBorder="1" applyAlignment="1">
      <alignment horizontal="left" wrapText="1" indent="3"/>
    </xf>
    <xf numFmtId="3" fontId="18" fillId="0" borderId="19" xfId="2" applyNumberFormat="1" applyFont="1" applyFill="1" applyBorder="1"/>
    <xf numFmtId="0" fontId="19" fillId="0" borderId="39" xfId="0" applyFont="1" applyFill="1" applyBorder="1" applyAlignment="1">
      <alignment horizontal="left" indent="1"/>
    </xf>
    <xf numFmtId="0" fontId="6" fillId="0" borderId="39" xfId="0" applyFont="1" applyFill="1" applyBorder="1" applyAlignment="1">
      <alignment horizontal="left" wrapText="1" indent="2"/>
    </xf>
    <xf numFmtId="0" fontId="11" fillId="0" borderId="39" xfId="0" applyFont="1" applyFill="1" applyBorder="1" applyAlignment="1">
      <alignment horizontal="left" wrapText="1" indent="2"/>
    </xf>
    <xf numFmtId="0" fontId="19" fillId="0" borderId="39" xfId="0" applyFont="1" applyFill="1" applyBorder="1" applyAlignment="1">
      <alignment horizontal="left" wrapText="1" indent="2"/>
    </xf>
    <xf numFmtId="164" fontId="15" fillId="0" borderId="19" xfId="2" applyNumberFormat="1" applyFont="1" applyFill="1" applyBorder="1"/>
    <xf numFmtId="164" fontId="9" fillId="0" borderId="19" xfId="2" applyNumberFormat="1" applyFont="1" applyFill="1" applyBorder="1" applyAlignment="1">
      <alignment horizontal="right"/>
    </xf>
    <xf numFmtId="3" fontId="22" fillId="0" borderId="19" xfId="2" applyNumberFormat="1" applyFont="1" applyFill="1" applyBorder="1"/>
    <xf numFmtId="168" fontId="7" fillId="0" borderId="19" xfId="1" applyNumberFormat="1" applyFont="1" applyFill="1" applyBorder="1"/>
    <xf numFmtId="168" fontId="7" fillId="0" borderId="37" xfId="1" applyNumberFormat="1" applyFont="1" applyFill="1" applyBorder="1"/>
    <xf numFmtId="164" fontId="7" fillId="0" borderId="19" xfId="1" applyNumberFormat="1" applyFont="1" applyFill="1" applyBorder="1"/>
    <xf numFmtId="168" fontId="7" fillId="0" borderId="19" xfId="1" applyNumberFormat="1" applyFont="1" applyFill="1" applyBorder="1" applyAlignment="1">
      <alignment horizontal="right"/>
    </xf>
    <xf numFmtId="164" fontId="9" fillId="0" borderId="37" xfId="1" applyNumberFormat="1" applyFont="1" applyFill="1" applyBorder="1"/>
    <xf numFmtId="0" fontId="9" fillId="0" borderId="39" xfId="0" applyFont="1" applyFill="1" applyBorder="1" applyAlignment="1">
      <alignment horizontal="left" vertical="top" wrapText="1" indent="2"/>
    </xf>
    <xf numFmtId="164" fontId="9" fillId="0" borderId="19" xfId="1" applyNumberFormat="1" applyFont="1" applyFill="1" applyBorder="1"/>
    <xf numFmtId="168" fontId="9" fillId="0" borderId="19" xfId="1" applyNumberFormat="1" applyFont="1" applyFill="1" applyBorder="1" applyAlignment="1">
      <alignment horizontal="right"/>
    </xf>
    <xf numFmtId="0" fontId="7" fillId="0" borderId="39" xfId="2" applyFont="1" applyFill="1" applyBorder="1" applyAlignment="1">
      <alignment horizontal="right" wrapText="1" indent="3"/>
    </xf>
    <xf numFmtId="0" fontId="9" fillId="0" borderId="39" xfId="2" applyFont="1" applyFill="1" applyBorder="1" applyAlignment="1">
      <alignment horizontal="left" wrapText="1" indent="1"/>
    </xf>
    <xf numFmtId="0" fontId="19" fillId="0" borderId="39" xfId="2" applyFont="1" applyFill="1" applyBorder="1" applyAlignment="1">
      <alignment horizontal="left" wrapText="1" indent="3"/>
    </xf>
    <xf numFmtId="0" fontId="11" fillId="0" borderId="39" xfId="2" applyFont="1" applyFill="1" applyBorder="1" applyAlignment="1">
      <alignment horizontal="left" wrapText="1" indent="3"/>
    </xf>
    <xf numFmtId="0" fontId="9" fillId="0" borderId="39" xfId="2" applyFont="1" applyFill="1" applyBorder="1" applyAlignment="1">
      <alignment horizontal="center" wrapText="1"/>
    </xf>
    <xf numFmtId="0" fontId="9" fillId="0" borderId="39" xfId="2" applyFont="1" applyFill="1" applyBorder="1" applyAlignment="1">
      <alignment horizontal="left" indent="1"/>
    </xf>
    <xf numFmtId="0" fontId="19" fillId="0" borderId="39" xfId="2" applyFont="1" applyFill="1" applyBorder="1" applyAlignment="1">
      <alignment horizontal="left" indent="1"/>
    </xf>
    <xf numFmtId="3" fontId="24" fillId="0" borderId="19" xfId="2" applyNumberFormat="1" applyFont="1" applyFill="1" applyBorder="1"/>
    <xf numFmtId="0" fontId="9" fillId="0" borderId="39" xfId="2" applyFont="1" applyFill="1" applyBorder="1" applyAlignment="1">
      <alignment horizontal="distributed" wrapText="1"/>
    </xf>
    <xf numFmtId="0" fontId="25" fillId="0" borderId="39" xfId="2" applyFont="1" applyFill="1" applyBorder="1" applyAlignment="1">
      <alignment horizontal="left" wrapText="1" indent="2"/>
    </xf>
    <xf numFmtId="0" fontId="15" fillId="0" borderId="37" xfId="2" applyFont="1" applyFill="1" applyBorder="1"/>
    <xf numFmtId="0" fontId="18" fillId="0" borderId="39" xfId="2" applyFont="1" applyFill="1" applyBorder="1" applyAlignment="1">
      <alignment horizontal="left" wrapText="1" indent="2"/>
    </xf>
    <xf numFmtId="0" fontId="23" fillId="0" borderId="39" xfId="2" applyFont="1" applyFill="1" applyBorder="1" applyAlignment="1">
      <alignment horizontal="left" vertical="justify" indent="2"/>
    </xf>
    <xf numFmtId="0" fontId="9" fillId="0" borderId="39" xfId="2" applyFont="1" applyFill="1" applyBorder="1" applyAlignment="1">
      <alignment horizontal="left" indent="2"/>
    </xf>
    <xf numFmtId="0" fontId="7" fillId="0" borderId="39" xfId="2" applyFont="1" applyFill="1" applyBorder="1" applyAlignment="1">
      <alignment horizontal="left" vertical="top" wrapText="1" indent="2"/>
    </xf>
    <xf numFmtId="0" fontId="9" fillId="0" borderId="40" xfId="2" applyFont="1" applyFill="1" applyBorder="1" applyAlignment="1">
      <alignment wrapText="1"/>
    </xf>
    <xf numFmtId="0" fontId="7" fillId="0" borderId="38" xfId="2" applyFont="1" applyFill="1" applyBorder="1"/>
    <xf numFmtId="164" fontId="7" fillId="0" borderId="38" xfId="1" applyNumberFormat="1" applyFont="1" applyFill="1" applyBorder="1"/>
    <xf numFmtId="0" fontId="7" fillId="0" borderId="27" xfId="2" applyFont="1" applyFill="1" applyBorder="1"/>
    <xf numFmtId="2" fontId="20" fillId="0" borderId="7" xfId="2" applyNumberFormat="1" applyFont="1" applyFill="1" applyBorder="1" applyAlignment="1">
      <alignment wrapText="1"/>
    </xf>
    <xf numFmtId="0" fontId="25" fillId="0" borderId="7" xfId="2" applyFont="1" applyFill="1" applyBorder="1" applyAlignment="1">
      <alignment horizontal="center" wrapText="1" shrinkToFit="1"/>
    </xf>
    <xf numFmtId="0" fontId="15" fillId="0" borderId="9" xfId="2" applyFont="1" applyFill="1" applyBorder="1"/>
    <xf numFmtId="0" fontId="19" fillId="0" borderId="7" xfId="2" applyFont="1" applyFill="1" applyBorder="1" applyAlignment="1">
      <alignment horizontal="left" indent="1"/>
    </xf>
    <xf numFmtId="0" fontId="7" fillId="0" borderId="7" xfId="2" applyFont="1" applyFill="1" applyBorder="1" applyAlignment="1">
      <alignment horizontal="center" wrapText="1"/>
    </xf>
    <xf numFmtId="164" fontId="19" fillId="0" borderId="7" xfId="2" applyNumberFormat="1" applyFont="1" applyFill="1" applyBorder="1" applyAlignment="1">
      <alignment horizontal="right"/>
    </xf>
    <xf numFmtId="164" fontId="11" fillId="0" borderId="7" xfId="2" applyNumberFormat="1" applyFont="1" applyFill="1" applyBorder="1" applyAlignment="1">
      <alignment horizontal="right"/>
    </xf>
    <xf numFmtId="166" fontId="7" fillId="0" borderId="7" xfId="2" applyNumberFormat="1" applyFont="1" applyFill="1" applyBorder="1" applyAlignment="1">
      <alignment horizontal="center"/>
    </xf>
    <xf numFmtId="174" fontId="7" fillId="0" borderId="7" xfId="9" applyNumberFormat="1" applyFont="1" applyFill="1" applyBorder="1" applyAlignment="1">
      <alignment horizontal="center"/>
    </xf>
    <xf numFmtId="0" fontId="6" fillId="0" borderId="7" xfId="2" applyFont="1" applyFill="1" applyBorder="1" applyAlignment="1">
      <alignment wrapText="1"/>
    </xf>
    <xf numFmtId="0" fontId="15" fillId="0" borderId="23" xfId="0" applyFont="1" applyFill="1" applyBorder="1" applyAlignment="1">
      <alignment horizontal="left" indent="2"/>
    </xf>
    <xf numFmtId="0" fontId="25" fillId="0" borderId="31" xfId="10" applyFont="1" applyFill="1" applyBorder="1" applyAlignment="1" applyProtection="1">
      <alignment horizontal="left" wrapText="1"/>
    </xf>
    <xf numFmtId="0" fontId="25" fillId="0" borderId="30" xfId="10" applyFont="1" applyFill="1" applyBorder="1" applyAlignment="1" applyProtection="1">
      <alignment horizontal="left" wrapText="1"/>
    </xf>
    <xf numFmtId="0" fontId="15" fillId="0" borderId="0" xfId="2" applyFont="1" applyFill="1" applyBorder="1" applyAlignment="1">
      <alignment horizontal="right" vertical="top" wrapText="1"/>
    </xf>
    <xf numFmtId="0" fontId="15" fillId="0" borderId="0" xfId="2" applyFont="1" applyFill="1" applyBorder="1" applyAlignment="1">
      <alignment horizontal="right" wrapText="1"/>
    </xf>
    <xf numFmtId="0" fontId="20" fillId="0" borderId="0" xfId="2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3" fontId="8" fillId="0" borderId="24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5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 wrapText="1"/>
    </xf>
    <xf numFmtId="0" fontId="31" fillId="0" borderId="5" xfId="2" applyFont="1" applyFill="1" applyBorder="1" applyAlignment="1">
      <alignment horizontal="center" vertical="center" wrapText="1"/>
    </xf>
    <xf numFmtId="0" fontId="31" fillId="0" borderId="6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wrapText="1"/>
    </xf>
    <xf numFmtId="0" fontId="16" fillId="0" borderId="12" xfId="2" applyFont="1" applyFill="1" applyBorder="1" applyAlignment="1">
      <alignment wrapText="1"/>
    </xf>
    <xf numFmtId="0" fontId="20" fillId="0" borderId="34" xfId="2" applyFont="1" applyFill="1" applyBorder="1" applyAlignment="1">
      <alignment horizontal="center" vertical="center" wrapText="1"/>
    </xf>
    <xf numFmtId="0" fontId="20" fillId="0" borderId="31" xfId="2" applyFont="1" applyFill="1" applyBorder="1" applyAlignment="1">
      <alignment horizontal="left" vertical="top" wrapText="1"/>
    </xf>
    <xf numFmtId="0" fontId="20" fillId="0" borderId="30" xfId="2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45">
    <cellStyle name="Excel Built-in Normal" xfId="13"/>
    <cellStyle name="Обычный" xfId="0" builtinId="0"/>
    <cellStyle name="Обычный 13" xfId="44"/>
    <cellStyle name="Обычный 2" xfId="4"/>
    <cellStyle name="Обычный 2 2" xfId="14"/>
    <cellStyle name="Обычный 2 3" xfId="15"/>
    <cellStyle name="Обычный 2_Fin край 2012" xfId="16"/>
    <cellStyle name="Обычный 3" xfId="17"/>
    <cellStyle name="Обычный 3 2" xfId="18"/>
    <cellStyle name="Обычный 3 2 2" xfId="19"/>
    <cellStyle name="Обычный 3 2 3" xfId="20"/>
    <cellStyle name="Обычный 3 3" xfId="21"/>
    <cellStyle name="Обычный 3 3 2" xfId="22"/>
    <cellStyle name="Обычный 3 4" xfId="23"/>
    <cellStyle name="Обычный 3 5" xfId="24"/>
    <cellStyle name="Обычный 3 6" xfId="25"/>
    <cellStyle name="Обычный 3 6 2" xfId="26"/>
    <cellStyle name="Обычный 3 7" xfId="27"/>
    <cellStyle name="Обычный 3 8" xfId="28"/>
    <cellStyle name="Обычный 4" xfId="29"/>
    <cellStyle name="Обычный 4 2" xfId="30"/>
    <cellStyle name="Обычный 5" xfId="31"/>
    <cellStyle name="Обычный 6" xfId="32"/>
    <cellStyle name="Обычный 7" xfId="33"/>
    <cellStyle name="Обычный 8" xfId="43"/>
    <cellStyle name="Обычный Лена" xfId="10"/>
    <cellStyle name="Обычный_Таблицы Мун.заказ Стационар" xfId="2"/>
    <cellStyle name="Примечание 2" xfId="34"/>
    <cellStyle name="Процентный 2" xfId="11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10" xfId="12"/>
    <cellStyle name="Финансовый 2" xfId="5"/>
    <cellStyle name="Финансовый 2 2" xfId="35"/>
    <cellStyle name="Финансовый 2 3" xfId="36"/>
    <cellStyle name="Финансовый 3" xfId="37"/>
    <cellStyle name="Финансовый 3 2" xfId="38"/>
    <cellStyle name="Финансовый 3 2 2" xfId="39"/>
    <cellStyle name="Финансовый 3 3" xfId="40"/>
    <cellStyle name="Финансовый 3 4" xfId="41"/>
    <cellStyle name="Финансовый 4" xfId="42"/>
    <cellStyle name="Финансовый_Таблицы Мун.заказ Стационар" xfId="7"/>
    <cellStyle name="Финансовый_Таблицы Мун.заказ Стационар 4" xfId="9"/>
  </cellStyles>
  <dxfs count="0"/>
  <tableStyles count="0" defaultTableStyle="TableStyleMedium9" defaultPivotStyle="PivotStyleLight16"/>
  <colors>
    <mruColors>
      <color rgb="FFFFFF00"/>
      <color rgb="FFFFCCFF"/>
      <color rgb="FFEAD5FF"/>
      <color rgb="FFFF9999"/>
      <color rgb="FF00CCFF"/>
      <color rgb="FFCC66FF"/>
      <color rgb="FFFF66FF"/>
      <color rgb="FFFFCC00"/>
      <color rgb="FFFFCC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355</xdr:row>
      <xdr:rowOff>188357</xdr:rowOff>
    </xdr:from>
    <xdr:ext cx="45719" cy="45719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355</xdr:row>
      <xdr:rowOff>188357</xdr:rowOff>
    </xdr:from>
    <xdr:ext cx="45719" cy="45719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355</xdr:row>
      <xdr:rowOff>188357</xdr:rowOff>
    </xdr:from>
    <xdr:ext cx="45719" cy="45719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355</xdr:row>
      <xdr:rowOff>188357</xdr:rowOff>
    </xdr:from>
    <xdr:ext cx="45719" cy="45719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513</xdr:row>
      <xdr:rowOff>0</xdr:rowOff>
    </xdr:from>
    <xdr:ext cx="45719" cy="45719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513</xdr:row>
      <xdr:rowOff>0</xdr:rowOff>
    </xdr:from>
    <xdr:ext cx="45719" cy="45719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513</xdr:row>
      <xdr:rowOff>0</xdr:rowOff>
    </xdr:from>
    <xdr:ext cx="45719" cy="45719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513</xdr:row>
      <xdr:rowOff>0</xdr:rowOff>
    </xdr:from>
    <xdr:ext cx="45719" cy="45719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277</xdr:row>
      <xdr:rowOff>188357</xdr:rowOff>
    </xdr:from>
    <xdr:ext cx="45719" cy="45719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277</xdr:row>
      <xdr:rowOff>188357</xdr:rowOff>
    </xdr:from>
    <xdr:ext cx="45719" cy="45719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355</xdr:row>
      <xdr:rowOff>188357</xdr:rowOff>
    </xdr:from>
    <xdr:ext cx="45719" cy="45719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355</xdr:row>
      <xdr:rowOff>188357</xdr:rowOff>
    </xdr:from>
    <xdr:ext cx="45719" cy="45719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513</xdr:row>
      <xdr:rowOff>0</xdr:rowOff>
    </xdr:from>
    <xdr:ext cx="45719" cy="45719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513</xdr:row>
      <xdr:rowOff>0</xdr:rowOff>
    </xdr:from>
    <xdr:ext cx="45719" cy="45719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0" name="Text Box 1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1" name="Text Box 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2" name="Text Box 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3" name="Text Box 1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4" name="Text Box 1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5" name="Text Box 1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6" name="Text Box 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7" name="Text Box 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8" name="Text Box 1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89" name="Text Box 1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0" name="Text Box 1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752</xdr:row>
      <xdr:rowOff>0</xdr:rowOff>
    </xdr:from>
    <xdr:ext cx="104775" cy="163419"/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277</xdr:row>
      <xdr:rowOff>188357</xdr:rowOff>
    </xdr:from>
    <xdr:ext cx="45719" cy="45719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277</xdr:row>
      <xdr:rowOff>188357</xdr:rowOff>
    </xdr:from>
    <xdr:ext cx="45719" cy="45719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277</xdr:row>
      <xdr:rowOff>188357</xdr:rowOff>
    </xdr:from>
    <xdr:ext cx="4571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277</xdr:row>
      <xdr:rowOff>188357</xdr:rowOff>
    </xdr:from>
    <xdr:ext cx="45719" cy="45719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277</xdr:row>
      <xdr:rowOff>188357</xdr:rowOff>
    </xdr:from>
    <xdr:ext cx="45719" cy="45719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277</xdr:row>
      <xdr:rowOff>188357</xdr:rowOff>
    </xdr:from>
    <xdr:ext cx="45719" cy="45719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281</xdr:row>
      <xdr:rowOff>188357</xdr:rowOff>
    </xdr:from>
    <xdr:ext cx="45719" cy="45719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142</xdr:row>
      <xdr:rowOff>188357</xdr:rowOff>
    </xdr:from>
    <xdr:ext cx="45719" cy="45719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142</xdr:row>
      <xdr:rowOff>188357</xdr:rowOff>
    </xdr:from>
    <xdr:ext cx="4571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142</xdr:row>
      <xdr:rowOff>188357</xdr:rowOff>
    </xdr:from>
    <xdr:ext cx="45719" cy="45719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142</xdr:row>
      <xdr:rowOff>188357</xdr:rowOff>
    </xdr:from>
    <xdr:ext cx="45719" cy="45719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142</xdr:row>
      <xdr:rowOff>188357</xdr:rowOff>
    </xdr:from>
    <xdr:ext cx="45719" cy="45719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674</xdr:row>
      <xdr:rowOff>152400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702</xdr:row>
      <xdr:rowOff>152400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47505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47505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29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29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7529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7529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38004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3800475" y="101629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0" y="214160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 flipV="1">
          <a:off x="38004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 flipV="1">
          <a:off x="38004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 flipV="1">
          <a:off x="47529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 flipV="1">
          <a:off x="38004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 flipV="1">
          <a:off x="3800475" y="377359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3798094" y="78674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3798094" y="78674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3798094" y="102391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3798094" y="102391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3798094" y="1554003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3798094" y="1554003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3798094" y="78674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3798094" y="78674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3798094" y="382407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3798094" y="382407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3798094" y="382407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3798094" y="382407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798094" y="45103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798094" y="393882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29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29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7529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7529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38004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3800475" y="1082590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47529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47529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15</xdr:row>
      <xdr:rowOff>188357</xdr:rowOff>
    </xdr:from>
    <xdr:ext cx="45719" cy="45719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800475" y="44936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</xdr:row>
      <xdr:rowOff>188357</xdr:rowOff>
    </xdr:from>
    <xdr:ext cx="45719" cy="45719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800475" y="39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29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29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7529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7529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29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29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29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29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38004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38004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38004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355</xdr:row>
      <xdr:rowOff>188357</xdr:rowOff>
    </xdr:from>
    <xdr:ext cx="45719" cy="45719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3800475" y="1098115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38004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513</xdr:row>
      <xdr:rowOff>0</xdr:rowOff>
    </xdr:from>
    <xdr:ext cx="45719" cy="45719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3800475" y="16336327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4" name="Text Box 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5" name="Text Box 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6" name="Text Box 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7" name="Text Box 1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8" name="Text Box 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49" name="Text Box 1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0" name="Text Box 1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1" name="Text Box 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2" name="Text Box 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3" name="Text Box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4" name="Text Box 1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5" name="Text Box 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6" name="Text Box 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7" name="Text Box 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8" name="Text Box 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59" name="Text Box 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0" name="Text Box 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1" name="Text Box 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2" name="Text Box 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3" name="Text Box 1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4" name="Text Box 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5" name="Text Box 1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6" name="Text Box 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7" name="Text Box 1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8" name="Text Box 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69" name="Text Box 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0" name="Text Box 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1" name="Text Box 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2" name="Text Box 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3" name="Text Box 1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4" name="Text Box 1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5" name="Text Box 1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6" name="Text Box 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7" name="Text Box 1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8" name="Text Box 1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79" name="Text Box 1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0" name="Text Box 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1" name="Text Box 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2" name="Text Box 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3" name="Text Box 1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4" name="Text Box 1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5" name="Text Box 1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6" name="Text Box 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7" name="Text Box 1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8" name="Text Box 1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89" name="Text Box 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0" name="Text Box 1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1" name="Text Box 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2" name="Text Box 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3" name="Text Box 1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4" name="Text Box 1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5" name="Text Box 1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6" name="Text Box 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7" name="Text Box 1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8" name="Text Box 1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499" name="Text Box 1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0" name="Text Box 1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1" name="Text Box 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2" name="Text Box 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3" name="Text Box 1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4" name="Text Box 1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5" name="Text Box 1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6" name="Text Box 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7" name="Text Box 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8" name="Text Box 1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09" name="Text Box 1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0" name="Text Box 1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1" name="Text Box 1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2" name="Text Box 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3" name="Text Box 1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4" name="Text Box 1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5" name="Text Box 1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6" name="Text Box 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7" name="Text Box 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8" name="Text Box 1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19" name="Text Box 1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0" name="Text Box 1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1" name="Text Box 1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2" name="Text Box 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3" name="Text Box 1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4" name="Text Box 1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5" name="Text Box 1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6" name="Text Box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7" name="Text Box 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8" name="Text Box 1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29" name="Text Box 1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0" name="Text Box 1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1" name="Text Box 1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2" name="Text Box 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3" name="Text Box 1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4" name="Text Box 1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5" name="Text Box 1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6" name="Text Box 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7" name="Text Box 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8" name="Text Box 1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39" name="Text Box 1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0" name="Text Box 1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1" name="Text Box 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2" name="Text Box 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3" name="Text Box 1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0" y="241173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4" name="Text Box 1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5" name="Text Box 1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6" name="Text Box 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7" name="Text Box 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8" name="Text Box 1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49" name="Text Box 1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0" name="Text Box 1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1" name="Text Box 1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2" name="Text Box 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3" name="Text Box 1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4" name="Text Box 1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5" name="Text Box 1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6" name="Text Box 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7" name="Text Box 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8" name="Text Box 1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59" name="Text Box 1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60" name="Text Box 1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61" name="Text Box 1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62" name="Text Box 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752</xdr:row>
      <xdr:rowOff>0</xdr:rowOff>
    </xdr:from>
    <xdr:ext cx="104775" cy="163419"/>
    <xdr:sp macro="" textlink="">
      <xdr:nvSpPr>
        <xdr:cNvPr id="563" name="Text Box 1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0" y="24155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47529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47529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47529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47529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38004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277</xdr:row>
      <xdr:rowOff>188357</xdr:rowOff>
    </xdr:from>
    <xdr:ext cx="45719" cy="45719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3800475" y="851227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38004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38004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47529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38004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142</xdr:row>
      <xdr:rowOff>188357</xdr:rowOff>
    </xdr:from>
    <xdr:ext cx="45719" cy="45719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3800475" y="420221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674</xdr:row>
      <xdr:rowOff>152400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0" y="208587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702</xdr:row>
      <xdr:rowOff>152400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0" y="21770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1600</xdr:row>
      <xdr:rowOff>152400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1601</xdr:row>
      <xdr:rowOff>152400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164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164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46186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1600</xdr:row>
      <xdr:rowOff>152400</xdr:rowOff>
    </xdr:from>
    <xdr:ext cx="104775" cy="163419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0" y="550811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4" name="Text Box 1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5" name="Text Box 1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6" name="Text Box 1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7" name="Text Box 1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8" name="Text Box 1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49" name="Text Box 1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0" name="Text Box 1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1" name="Text Box 1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2" name="Text Box 1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3" name="Text Box 1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4" name="Text Box 1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5" name="Text Box 1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6" name="Text Box 1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7" name="Text Box 1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8" name="Text Box 1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59" name="Text Box 1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60" name="Text Box 1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1601</xdr:row>
      <xdr:rowOff>152400</xdr:rowOff>
    </xdr:from>
    <xdr:ext cx="104775" cy="163419"/>
    <xdr:sp macro="" textlink="">
      <xdr:nvSpPr>
        <xdr:cNvPr id="161" name="Text Box 1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0" y="551011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164</xdr:row>
      <xdr:rowOff>152400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0" y="51320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9339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" name="Text Box 19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696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" name="Text Box 20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8649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5" name="Text Box 21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2272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6" name="Text Box 22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3125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7" name="Text Box 24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6363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8" name="Text Box 20">
          <a:extLst>
            <a:ext uri="{FF2B5EF4-FFF2-40B4-BE49-F238E27FC236}">
              <a16:creationId xmlns=""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0" y="19221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9" name="Text Box 20">
          <a:extLst>
            <a:ext uri="{FF2B5EF4-FFF2-40B4-BE49-F238E27FC236}">
              <a16:creationId xmlns=""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0" y="23298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0" y="2152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1" name="Text Box 19">
          <a:extLst>
            <a:ext uri="{FF2B5EF4-FFF2-40B4-BE49-F238E27FC236}">
              <a16:creationId xmlns="" xmlns:a16="http://schemas.microsoft.com/office/drawing/2014/main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0" y="6524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2" name="Text Box 22">
          <a:extLst>
            <a:ext uri="{FF2B5EF4-FFF2-40B4-BE49-F238E27FC236}">
              <a16:creationId xmlns="" xmlns:a16="http://schemas.microsoft.com/office/drawing/2014/main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0" y="9277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3" name="Text Box 24">
          <a:extLst>
            <a:ext uri="{FF2B5EF4-FFF2-40B4-BE49-F238E27FC236}">
              <a16:creationId xmlns="" xmlns:a16="http://schemas.microsoft.com/office/drawing/2014/main" id="{00000000-0008-0000-0800-00000D000000}"/>
            </a:ext>
          </a:extLst>
        </xdr:cNvPr>
        <xdr:cNvSpPr txBox="1">
          <a:spLocks noChangeArrowheads="1"/>
        </xdr:cNvSpPr>
      </xdr:nvSpPr>
      <xdr:spPr bwMode="auto">
        <a:xfrm>
          <a:off x="0" y="12411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4" name="Text Box 20">
          <a:extLst>
            <a:ext uri="{FF2B5EF4-FFF2-40B4-BE49-F238E27FC236}">
              <a16:creationId xmlns="" xmlns:a16="http://schemas.microsoft.com/office/drawing/2014/main" id="{00000000-0008-0000-0800-00000E000000}"/>
            </a:ext>
          </a:extLst>
        </xdr:cNvPr>
        <xdr:cNvSpPr txBox="1">
          <a:spLocks noChangeArrowheads="1"/>
        </xdr:cNvSpPr>
      </xdr:nvSpPr>
      <xdr:spPr bwMode="auto">
        <a:xfrm>
          <a:off x="0" y="15116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5" name="Text Box 20">
          <a:extLst>
            <a:ext uri="{FF2B5EF4-FFF2-40B4-BE49-F238E27FC236}">
              <a16:creationId xmlns="" xmlns:a16="http://schemas.microsoft.com/office/drawing/2014/main" id="{00000000-0008-0000-0800-00000F000000}"/>
            </a:ext>
          </a:extLst>
        </xdr:cNvPr>
        <xdr:cNvSpPr txBox="1">
          <a:spLocks noChangeArrowheads="1"/>
        </xdr:cNvSpPr>
      </xdr:nvSpPr>
      <xdr:spPr bwMode="auto">
        <a:xfrm>
          <a:off x="0" y="15687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16" name="Text Box 21">
          <a:extLst>
            <a:ext uri="{FF2B5EF4-FFF2-40B4-BE49-F238E27FC236}">
              <a16:creationId xmlns="" xmlns:a16="http://schemas.microsoft.com/office/drawing/2014/main" id="{00000000-0008-0000-0800-000010000000}"/>
            </a:ext>
          </a:extLst>
        </xdr:cNvPr>
        <xdr:cNvSpPr txBox="1">
          <a:spLocks noChangeArrowheads="1"/>
        </xdr:cNvSpPr>
      </xdr:nvSpPr>
      <xdr:spPr bwMode="auto">
        <a:xfrm>
          <a:off x="0" y="1802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17" name="Text Box 20">
          <a:extLst>
            <a:ext uri="{FF2B5EF4-FFF2-40B4-BE49-F238E27FC236}">
              <a16:creationId xmlns="" xmlns:a16="http://schemas.microsoft.com/office/drawing/2014/main" id="{00000000-0008-0000-0800-000011000000}"/>
            </a:ext>
          </a:extLst>
        </xdr:cNvPr>
        <xdr:cNvSpPr txBox="1">
          <a:spLocks noChangeArrowheads="1"/>
        </xdr:cNvSpPr>
      </xdr:nvSpPr>
      <xdr:spPr bwMode="auto">
        <a:xfrm>
          <a:off x="0" y="18592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8" name="Text Box 20">
          <a:extLst>
            <a:ext uri="{FF2B5EF4-FFF2-40B4-BE49-F238E27FC236}">
              <a16:creationId xmlns="" xmlns:a16="http://schemas.microsoft.com/office/drawing/2014/main" id="{00000000-0008-0000-0800-000012000000}"/>
            </a:ext>
          </a:extLst>
        </xdr:cNvPr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19" name="Text Box 20">
          <a:extLst>
            <a:ext uri="{FF2B5EF4-FFF2-40B4-BE49-F238E27FC236}">
              <a16:creationId xmlns="" xmlns:a16="http://schemas.microsoft.com/office/drawing/2014/main" id="{00000000-0008-0000-0800-000013000000}"/>
            </a:ext>
          </a:extLst>
        </xdr:cNvPr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800-000015000000}"/>
            </a:ext>
          </a:extLst>
        </xdr:cNvPr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2" name="Text Box 19">
          <a:extLst>
            <a:ext uri="{FF2B5EF4-FFF2-40B4-BE49-F238E27FC236}">
              <a16:creationId xmlns="" xmlns:a16="http://schemas.microsoft.com/office/drawing/2014/main" id="{00000000-0008-0000-0800-000016000000}"/>
            </a:ext>
          </a:extLst>
        </xdr:cNvPr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3" name="Text Box 19">
          <a:extLst>
            <a:ext uri="{FF2B5EF4-FFF2-40B4-BE49-F238E27FC236}">
              <a16:creationId xmlns="" xmlns:a16="http://schemas.microsoft.com/office/drawing/2014/main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6" name="Text Box 22">
          <a:extLst>
            <a:ext uri="{FF2B5EF4-FFF2-40B4-BE49-F238E27FC236}">
              <a16:creationId xmlns="" xmlns:a16="http://schemas.microsoft.com/office/drawing/2014/main" id="{00000000-0008-0000-0800-00001A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7" name="Text Box 22">
          <a:extLst>
            <a:ext uri="{FF2B5EF4-FFF2-40B4-BE49-F238E27FC236}">
              <a16:creationId xmlns=""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8" name="Text Box 19">
          <a:extLst>
            <a:ext uri="{FF2B5EF4-FFF2-40B4-BE49-F238E27FC236}">
              <a16:creationId xmlns=""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29" name="Text Box 19">
          <a:extLst>
            <a:ext uri="{FF2B5EF4-FFF2-40B4-BE49-F238E27FC236}">
              <a16:creationId xmlns=""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2" name="Text Box 24">
          <a:extLst>
            <a:ext uri="{FF2B5EF4-FFF2-40B4-BE49-F238E27FC236}">
              <a16:creationId xmlns="" xmlns:a16="http://schemas.microsoft.com/office/drawing/2014/main" id="{00000000-0008-0000-0800-000020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3" name="Text Box 24">
          <a:extLst>
            <a:ext uri="{FF2B5EF4-FFF2-40B4-BE49-F238E27FC236}">
              <a16:creationId xmlns="" xmlns:a16="http://schemas.microsoft.com/office/drawing/2014/main" id="{00000000-0008-0000-0800-000021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4" name="Text Box 22">
          <a:extLst>
            <a:ext uri="{FF2B5EF4-FFF2-40B4-BE49-F238E27FC236}">
              <a16:creationId xmlns="" xmlns:a16="http://schemas.microsoft.com/office/drawing/2014/main" id="{00000000-0008-0000-0800-000022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5" name="Text Box 22">
          <a:extLst>
            <a:ext uri="{FF2B5EF4-FFF2-40B4-BE49-F238E27FC236}">
              <a16:creationId xmlns="" xmlns:a16="http://schemas.microsoft.com/office/drawing/2014/main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6" name="Text Box 19">
          <a:extLst>
            <a:ext uri="{FF2B5EF4-FFF2-40B4-BE49-F238E27FC236}">
              <a16:creationId xmlns="" xmlns:a16="http://schemas.microsoft.com/office/drawing/2014/main" id="{00000000-0008-0000-0800-000024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37" name="Text Box 19">
          <a:extLst>
            <a:ext uri="{FF2B5EF4-FFF2-40B4-BE49-F238E27FC236}">
              <a16:creationId xmlns="" xmlns:a16="http://schemas.microsoft.com/office/drawing/2014/main" id="{00000000-0008-0000-0800-000025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1" name="Text Box 20">
          <a:extLst>
            <a:ext uri="{FF2B5EF4-FFF2-40B4-BE49-F238E27FC236}">
              <a16:creationId xmlns="" xmlns:a16="http://schemas.microsoft.com/office/drawing/2014/main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2" name="Text Box 20">
          <a:extLst>
            <a:ext uri="{FF2B5EF4-FFF2-40B4-BE49-F238E27FC236}">
              <a16:creationId xmlns="" xmlns:a16="http://schemas.microsoft.com/office/drawing/2014/main" id="{00000000-0008-0000-0800-00002A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3" name="Text Box 20">
          <a:extLst>
            <a:ext uri="{FF2B5EF4-FFF2-40B4-BE49-F238E27FC236}">
              <a16:creationId xmlns="" xmlns:a16="http://schemas.microsoft.com/office/drawing/2014/main" id="{00000000-0008-0000-0800-00002B000000}"/>
            </a:ext>
          </a:extLst>
        </xdr:cNvPr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4" name="Text Box 24">
          <a:extLst>
            <a:ext uri="{FF2B5EF4-FFF2-40B4-BE49-F238E27FC236}">
              <a16:creationId xmlns="" xmlns:a16="http://schemas.microsoft.com/office/drawing/2014/main" id="{00000000-0008-0000-0800-00002C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5" name="Text Box 24">
          <a:extLst>
            <a:ext uri="{FF2B5EF4-FFF2-40B4-BE49-F238E27FC236}">
              <a16:creationId xmlns="" xmlns:a16="http://schemas.microsoft.com/office/drawing/2014/main" id="{00000000-0008-0000-0800-00002D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6" name="Text Box 22">
          <a:extLst>
            <a:ext uri="{FF2B5EF4-FFF2-40B4-BE49-F238E27FC236}">
              <a16:creationId xmlns="" xmlns:a16="http://schemas.microsoft.com/office/drawing/2014/main" id="{00000000-0008-0000-0800-00002E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7" name="Text Box 22">
          <a:extLst>
            <a:ext uri="{FF2B5EF4-FFF2-40B4-BE49-F238E27FC236}">
              <a16:creationId xmlns="" xmlns:a16="http://schemas.microsoft.com/office/drawing/2014/main" id="{00000000-0008-0000-0800-00002F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8" name="Text Box 19">
          <a:extLst>
            <a:ext uri="{FF2B5EF4-FFF2-40B4-BE49-F238E27FC236}">
              <a16:creationId xmlns="" xmlns:a16="http://schemas.microsoft.com/office/drawing/2014/main" id="{00000000-0008-0000-0800-000030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91</xdr:row>
      <xdr:rowOff>28575</xdr:rowOff>
    </xdr:to>
    <xdr:sp macro="" textlink="">
      <xdr:nvSpPr>
        <xdr:cNvPr id="49" name="Text Box 19">
          <a:extLst>
            <a:ext uri="{FF2B5EF4-FFF2-40B4-BE49-F238E27FC236}">
              <a16:creationId xmlns="" xmlns:a16="http://schemas.microsoft.com/office/drawing/2014/main" id="{00000000-0008-0000-0800-000031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800-000032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104775</xdr:colOff>
      <xdr:row>90</xdr:row>
      <xdr:rowOff>171450</xdr:rowOff>
    </xdr:to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800-000033000000}"/>
            </a:ext>
          </a:extLst>
        </xdr:cNvPr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800-000034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800-000035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800-000036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800-000037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800-000038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800-000039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800-00003A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800-00003B000000}"/>
            </a:ext>
          </a:extLst>
        </xdr:cNvPr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800-000045000000}"/>
            </a:ext>
          </a:extLst>
        </xdr:cNvPr>
        <xdr:cNvSpPr txBox="1">
          <a:spLocks noChangeArrowheads="1"/>
        </xdr:cNvSpPr>
      </xdr:nvSpPr>
      <xdr:spPr bwMode="auto">
        <a:xfrm>
          <a:off x="0" y="2826808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800-000046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800-000047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00000000-0008-0000-0800-000048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00000000-0008-0000-0800-000049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0000000-0008-0000-0800-00004A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00000000-0008-0000-0800-00004B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00000000-0008-0000-0800-00004C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94</xdr:row>
      <xdr:rowOff>171450</xdr:rowOff>
    </xdr:to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00000000-0008-0000-0800-00004D000000}"/>
            </a:ext>
          </a:extLst>
        </xdr:cNvPr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00000000-0008-0000-0800-00004E000000}"/>
            </a:ext>
          </a:extLst>
        </xdr:cNvPr>
        <xdr:cNvSpPr txBox="1">
          <a:spLocks noChangeArrowheads="1"/>
        </xdr:cNvSpPr>
      </xdr:nvSpPr>
      <xdr:spPr bwMode="auto">
        <a:xfrm>
          <a:off x="0" y="48577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00000000-0008-0000-0800-00004F000000}"/>
            </a:ext>
          </a:extLst>
        </xdr:cNvPr>
        <xdr:cNvSpPr txBox="1">
          <a:spLocks noChangeArrowheads="1"/>
        </xdr:cNvSpPr>
      </xdr:nvSpPr>
      <xdr:spPr bwMode="auto">
        <a:xfrm>
          <a:off x="0" y="48577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1" name="Text Box 19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2" name="Text Box 20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83" name="Text Box 21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4" name="Text Box 22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5" name="Text Box 24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6" name="Text Box 20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87" name="Text Box 20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89" name="Text Box 19">
          <a:extLst>
            <a:ext uri="{FF2B5EF4-FFF2-40B4-BE49-F238E27FC236}">
              <a16:creationId xmlns:a16="http://schemas.microsoft.com/office/drawing/2014/main" xmlns="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0" name="Text Box 22">
          <a:extLst>
            <a:ext uri="{FF2B5EF4-FFF2-40B4-BE49-F238E27FC236}">
              <a16:creationId xmlns:a16="http://schemas.microsoft.com/office/drawing/2014/main" xmlns="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1" name="Text Box 24">
          <a:extLst>
            <a:ext uri="{FF2B5EF4-FFF2-40B4-BE49-F238E27FC236}">
              <a16:creationId xmlns:a16="http://schemas.microsoft.com/office/drawing/2014/main" xmlns="" id="{00000000-0008-0000-0800-00000D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800-00000E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xmlns="" id="{00000000-0008-0000-0800-00000F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94" name="Text Box 21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95" name="Text Box 20">
          <a:extLst>
            <a:ext uri="{FF2B5EF4-FFF2-40B4-BE49-F238E27FC236}">
              <a16:creationId xmlns:a16="http://schemas.microsoft.com/office/drawing/2014/main" xmlns="" id="{00000000-0008-0000-0800-000011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6" name="Text Box 20">
          <a:extLst>
            <a:ext uri="{FF2B5EF4-FFF2-40B4-BE49-F238E27FC236}">
              <a16:creationId xmlns:a16="http://schemas.microsoft.com/office/drawing/2014/main" xmlns="" id="{00000000-0008-0000-0800-000012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xmlns="" id="{00000000-0008-0000-08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1" name="Text Box 19">
          <a:extLst>
            <a:ext uri="{FF2B5EF4-FFF2-40B4-BE49-F238E27FC236}">
              <a16:creationId xmlns:a16="http://schemas.microsoft.com/office/drawing/2014/main" xmlns="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4" name="Text Box 22">
          <a:extLst>
            <a:ext uri="{FF2B5EF4-FFF2-40B4-BE49-F238E27FC236}">
              <a16:creationId xmlns:a16="http://schemas.microsoft.com/office/drawing/2014/main" xmlns="" id="{00000000-0008-0000-0800-00001A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5" name="Text Box 22">
          <a:extLst>
            <a:ext uri="{FF2B5EF4-FFF2-40B4-BE49-F238E27FC236}">
              <a16:creationId xmlns:a16="http://schemas.microsoft.com/office/drawing/2014/main" xmlns="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6" name="Text Box 19"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07" name="Text Box 19">
          <a:extLst>
            <a:ext uri="{FF2B5EF4-FFF2-40B4-BE49-F238E27FC236}">
              <a16:creationId xmlns:a16="http://schemas.microsoft.com/office/drawing/2014/main" xmlns="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0" name="Text Box 24">
          <a:extLst>
            <a:ext uri="{FF2B5EF4-FFF2-40B4-BE49-F238E27FC236}">
              <a16:creationId xmlns:a16="http://schemas.microsoft.com/office/drawing/2014/main" xmlns="" id="{00000000-0008-0000-0800-000020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1" name="Text Box 24">
          <a:extLst>
            <a:ext uri="{FF2B5EF4-FFF2-40B4-BE49-F238E27FC236}">
              <a16:creationId xmlns:a16="http://schemas.microsoft.com/office/drawing/2014/main" xmlns="" id="{00000000-0008-0000-0800-000021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2" name="Text Box 22">
          <a:extLst>
            <a:ext uri="{FF2B5EF4-FFF2-40B4-BE49-F238E27FC236}">
              <a16:creationId xmlns:a16="http://schemas.microsoft.com/office/drawing/2014/main" xmlns="" id="{00000000-0008-0000-0800-000022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3" name="Text Box 22">
          <a:extLst>
            <a:ext uri="{FF2B5EF4-FFF2-40B4-BE49-F238E27FC236}">
              <a16:creationId xmlns:a16="http://schemas.microsoft.com/office/drawing/2014/main" xmlns="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4" name="Text Box 19">
          <a:extLst>
            <a:ext uri="{FF2B5EF4-FFF2-40B4-BE49-F238E27FC236}">
              <a16:creationId xmlns:a16="http://schemas.microsoft.com/office/drawing/2014/main" xmlns="" id="{00000000-0008-0000-0800-000024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5" name="Text Box 19">
          <a:extLst>
            <a:ext uri="{FF2B5EF4-FFF2-40B4-BE49-F238E27FC236}">
              <a16:creationId xmlns:a16="http://schemas.microsoft.com/office/drawing/2014/main" xmlns="" id="{00000000-0008-0000-0800-000025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8" name="Text Box 20">
          <a:extLst>
            <a:ext uri="{FF2B5EF4-FFF2-40B4-BE49-F238E27FC236}">
              <a16:creationId xmlns:a16="http://schemas.microsoft.com/office/drawing/2014/main" xmlns="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19" name="Text Box 20">
          <a:extLst>
            <a:ext uri="{FF2B5EF4-FFF2-40B4-BE49-F238E27FC236}">
              <a16:creationId xmlns:a16="http://schemas.microsoft.com/office/drawing/2014/main" xmlns="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0" name="Text Box 20">
          <a:extLst>
            <a:ext uri="{FF2B5EF4-FFF2-40B4-BE49-F238E27FC236}">
              <a16:creationId xmlns:a16="http://schemas.microsoft.com/office/drawing/2014/main" xmlns="" id="{00000000-0008-0000-0800-00002A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1" name="Text Box 20">
          <a:extLst>
            <a:ext uri="{FF2B5EF4-FFF2-40B4-BE49-F238E27FC236}">
              <a16:creationId xmlns:a16="http://schemas.microsoft.com/office/drawing/2014/main" xmlns="" id="{00000000-0008-0000-0800-00002B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2" name="Text Box 24">
          <a:extLst>
            <a:ext uri="{FF2B5EF4-FFF2-40B4-BE49-F238E27FC236}">
              <a16:creationId xmlns:a16="http://schemas.microsoft.com/office/drawing/2014/main" xmlns="" id="{00000000-0008-0000-0800-00002C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3" name="Text Box 24">
          <a:extLst>
            <a:ext uri="{FF2B5EF4-FFF2-40B4-BE49-F238E27FC236}">
              <a16:creationId xmlns:a16="http://schemas.microsoft.com/office/drawing/2014/main" xmlns="" id="{00000000-0008-0000-0800-00002D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4" name="Text Box 22">
          <a:extLst>
            <a:ext uri="{FF2B5EF4-FFF2-40B4-BE49-F238E27FC236}">
              <a16:creationId xmlns:a16="http://schemas.microsoft.com/office/drawing/2014/main" xmlns="" id="{00000000-0008-0000-0800-00002E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5" name="Text Box 22">
          <a:extLst>
            <a:ext uri="{FF2B5EF4-FFF2-40B4-BE49-F238E27FC236}">
              <a16:creationId xmlns:a16="http://schemas.microsoft.com/office/drawing/2014/main" xmlns="" id="{00000000-0008-0000-0800-00002F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6" name="Text Box 19">
          <a:extLst>
            <a:ext uri="{FF2B5EF4-FFF2-40B4-BE49-F238E27FC236}">
              <a16:creationId xmlns:a16="http://schemas.microsoft.com/office/drawing/2014/main" xmlns="" id="{00000000-0008-0000-0800-000030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91</xdr:row>
      <xdr:rowOff>28575</xdr:rowOff>
    </xdr:to>
    <xdr:sp macro="" textlink="">
      <xdr:nvSpPr>
        <xdr:cNvPr id="127" name="Text Box 19">
          <a:extLst>
            <a:ext uri="{FF2B5EF4-FFF2-40B4-BE49-F238E27FC236}">
              <a16:creationId xmlns:a16="http://schemas.microsoft.com/office/drawing/2014/main" xmlns="" id="{00000000-0008-0000-0800-000031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00000000-0008-0000-0800-000032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90</xdr:row>
      <xdr:rowOff>0</xdr:rowOff>
    </xdr:from>
    <xdr:to>
      <xdr:col>6</xdr:col>
      <xdr:colOff>104775</xdr:colOff>
      <xdr:row>90</xdr:row>
      <xdr:rowOff>171450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00000000-0008-0000-0800-000033000000}"/>
            </a:ext>
          </a:extLst>
        </xdr:cNvPr>
        <xdr:cNvSpPr txBox="1">
          <a:spLocks noChangeArrowheads="1"/>
        </xdr:cNvSpPr>
      </xdr:nvSpPr>
      <xdr:spPr bwMode="auto">
        <a:xfrm>
          <a:off x="0" y="28498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00000000-0008-0000-0800-000034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00000000-0008-0000-0800-000035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00000000-0008-0000-0800-000036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00000000-0008-0000-0800-000037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00000000-0008-0000-0800-000038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00000000-0008-0000-0800-000039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00000000-0008-0000-0800-00003A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00000000-0008-0000-0800-00003B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00000000-0008-0000-0800-00004E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171450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00000000-0008-0000-0800-00004F000000}"/>
            </a:ext>
          </a:extLst>
        </xdr:cNvPr>
        <xdr:cNvSpPr txBox="1">
          <a:spLocks noChangeArrowheads="1"/>
        </xdr:cNvSpPr>
      </xdr:nvSpPr>
      <xdr:spPr bwMode="auto">
        <a:xfrm>
          <a:off x="0" y="4591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79" name="Text Box 19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0" name="Text Box 20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81" name="Text Box 21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2" name="Text Box 22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3" name="Text Box 24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4" name="Text Box 20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85" name="Text Box 20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7" name="Text Box 19">
          <a:extLst>
            <a:ext uri="{FF2B5EF4-FFF2-40B4-BE49-F238E27FC236}">
              <a16:creationId xmlns:a16="http://schemas.microsoft.com/office/drawing/2014/main" xmlns="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8" name="Text Box 22">
          <a:extLst>
            <a:ext uri="{FF2B5EF4-FFF2-40B4-BE49-F238E27FC236}">
              <a16:creationId xmlns:a16="http://schemas.microsoft.com/office/drawing/2014/main" xmlns="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89" name="Text Box 24">
          <a:extLst>
            <a:ext uri="{FF2B5EF4-FFF2-40B4-BE49-F238E27FC236}">
              <a16:creationId xmlns:a16="http://schemas.microsoft.com/office/drawing/2014/main" xmlns="" id="{00000000-0008-0000-0800-00000D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0" name="Text Box 20">
          <a:extLst>
            <a:ext uri="{FF2B5EF4-FFF2-40B4-BE49-F238E27FC236}">
              <a16:creationId xmlns:a16="http://schemas.microsoft.com/office/drawing/2014/main" xmlns="" id="{00000000-0008-0000-0800-00000E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1" name="Text Box 20">
          <a:extLst>
            <a:ext uri="{FF2B5EF4-FFF2-40B4-BE49-F238E27FC236}">
              <a16:creationId xmlns:a16="http://schemas.microsoft.com/office/drawing/2014/main" xmlns="" id="{00000000-0008-0000-0800-00000F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92" name="Text Box 21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93" name="Text Box 20">
          <a:extLst>
            <a:ext uri="{FF2B5EF4-FFF2-40B4-BE49-F238E27FC236}">
              <a16:creationId xmlns:a16="http://schemas.microsoft.com/office/drawing/2014/main" xmlns="" id="{00000000-0008-0000-0800-000011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4" name="Text Box 20">
          <a:extLst>
            <a:ext uri="{FF2B5EF4-FFF2-40B4-BE49-F238E27FC236}">
              <a16:creationId xmlns:a16="http://schemas.microsoft.com/office/drawing/2014/main" xmlns="" id="{00000000-0008-0000-0800-000012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5" name="Text Box 20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8" name="Text Box 19">
          <a:extLst>
            <a:ext uri="{FF2B5EF4-FFF2-40B4-BE49-F238E27FC236}">
              <a16:creationId xmlns:a16="http://schemas.microsoft.com/office/drawing/2014/main" xmlns="" id="{00000000-0008-0000-0800-000016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299" name="Text Box 19">
          <a:extLst>
            <a:ext uri="{FF2B5EF4-FFF2-40B4-BE49-F238E27FC236}">
              <a16:creationId xmlns:a16="http://schemas.microsoft.com/office/drawing/2014/main" xmlns="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xmlns="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xmlns="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2" name="Text Box 22">
          <a:extLst>
            <a:ext uri="{FF2B5EF4-FFF2-40B4-BE49-F238E27FC236}">
              <a16:creationId xmlns:a16="http://schemas.microsoft.com/office/drawing/2014/main" xmlns="" id="{00000000-0008-0000-0800-00001A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3" name="Text Box 22">
          <a:extLst>
            <a:ext uri="{FF2B5EF4-FFF2-40B4-BE49-F238E27FC236}">
              <a16:creationId xmlns:a16="http://schemas.microsoft.com/office/drawing/2014/main" xmlns="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4" name="Text Box 19"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5" name="Text Box 19">
          <a:extLst>
            <a:ext uri="{FF2B5EF4-FFF2-40B4-BE49-F238E27FC236}">
              <a16:creationId xmlns:a16="http://schemas.microsoft.com/office/drawing/2014/main" xmlns="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xmlns="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xmlns="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8" name="Text Box 24">
          <a:extLst>
            <a:ext uri="{FF2B5EF4-FFF2-40B4-BE49-F238E27FC236}">
              <a16:creationId xmlns:a16="http://schemas.microsoft.com/office/drawing/2014/main" xmlns="" id="{00000000-0008-0000-0800-000020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09" name="Text Box 24">
          <a:extLst>
            <a:ext uri="{FF2B5EF4-FFF2-40B4-BE49-F238E27FC236}">
              <a16:creationId xmlns:a16="http://schemas.microsoft.com/office/drawing/2014/main" xmlns="" id="{00000000-0008-0000-0800-000021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0" name="Text Box 22">
          <a:extLst>
            <a:ext uri="{FF2B5EF4-FFF2-40B4-BE49-F238E27FC236}">
              <a16:creationId xmlns:a16="http://schemas.microsoft.com/office/drawing/2014/main" xmlns="" id="{00000000-0008-0000-0800-000022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1" name="Text Box 22">
          <a:extLst>
            <a:ext uri="{FF2B5EF4-FFF2-40B4-BE49-F238E27FC236}">
              <a16:creationId xmlns:a16="http://schemas.microsoft.com/office/drawing/2014/main" xmlns="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2" name="Text Box 19">
          <a:extLst>
            <a:ext uri="{FF2B5EF4-FFF2-40B4-BE49-F238E27FC236}">
              <a16:creationId xmlns:a16="http://schemas.microsoft.com/office/drawing/2014/main" xmlns="" id="{00000000-0008-0000-0800-000024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3" name="Text Box 19">
          <a:extLst>
            <a:ext uri="{FF2B5EF4-FFF2-40B4-BE49-F238E27FC236}">
              <a16:creationId xmlns:a16="http://schemas.microsoft.com/office/drawing/2014/main" xmlns="" id="{00000000-0008-0000-0800-000025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xmlns="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xmlns="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6" name="Text Box 20">
          <a:extLst>
            <a:ext uri="{FF2B5EF4-FFF2-40B4-BE49-F238E27FC236}">
              <a16:creationId xmlns:a16="http://schemas.microsoft.com/office/drawing/2014/main" xmlns="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7" name="Text Box 20">
          <a:extLst>
            <a:ext uri="{FF2B5EF4-FFF2-40B4-BE49-F238E27FC236}">
              <a16:creationId xmlns:a16="http://schemas.microsoft.com/office/drawing/2014/main" xmlns="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8" name="Text Box 20">
          <a:extLst>
            <a:ext uri="{FF2B5EF4-FFF2-40B4-BE49-F238E27FC236}">
              <a16:creationId xmlns:a16="http://schemas.microsoft.com/office/drawing/2014/main" xmlns="" id="{00000000-0008-0000-0800-00002A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19" name="Text Box 20">
          <a:extLst>
            <a:ext uri="{FF2B5EF4-FFF2-40B4-BE49-F238E27FC236}">
              <a16:creationId xmlns:a16="http://schemas.microsoft.com/office/drawing/2014/main" xmlns="" id="{00000000-0008-0000-0800-00002B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0" name="Text Box 24">
          <a:extLst>
            <a:ext uri="{FF2B5EF4-FFF2-40B4-BE49-F238E27FC236}">
              <a16:creationId xmlns:a16="http://schemas.microsoft.com/office/drawing/2014/main" xmlns="" id="{00000000-0008-0000-0800-00002C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1" name="Text Box 24">
          <a:extLst>
            <a:ext uri="{FF2B5EF4-FFF2-40B4-BE49-F238E27FC236}">
              <a16:creationId xmlns:a16="http://schemas.microsoft.com/office/drawing/2014/main" xmlns="" id="{00000000-0008-0000-0800-00002D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2" name="Text Box 22">
          <a:extLst>
            <a:ext uri="{FF2B5EF4-FFF2-40B4-BE49-F238E27FC236}">
              <a16:creationId xmlns:a16="http://schemas.microsoft.com/office/drawing/2014/main" xmlns="" id="{00000000-0008-0000-0800-00002E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3" name="Text Box 22">
          <a:extLst>
            <a:ext uri="{FF2B5EF4-FFF2-40B4-BE49-F238E27FC236}">
              <a16:creationId xmlns:a16="http://schemas.microsoft.com/office/drawing/2014/main" xmlns="" id="{00000000-0008-0000-0800-00002F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4" name="Text Box 19">
          <a:extLst>
            <a:ext uri="{FF2B5EF4-FFF2-40B4-BE49-F238E27FC236}">
              <a16:creationId xmlns:a16="http://schemas.microsoft.com/office/drawing/2014/main" xmlns="" id="{00000000-0008-0000-0800-000030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91</xdr:row>
      <xdr:rowOff>28575</xdr:rowOff>
    </xdr:to>
    <xdr:sp macro="" textlink="">
      <xdr:nvSpPr>
        <xdr:cNvPr id="325" name="Text Box 19">
          <a:extLst>
            <a:ext uri="{FF2B5EF4-FFF2-40B4-BE49-F238E27FC236}">
              <a16:creationId xmlns:a16="http://schemas.microsoft.com/office/drawing/2014/main" xmlns="" id="{00000000-0008-0000-0800-000031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xmlns="" id="{00000000-0008-0000-0800-000032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90</xdr:row>
      <xdr:rowOff>0</xdr:rowOff>
    </xdr:from>
    <xdr:to>
      <xdr:col>7</xdr:col>
      <xdr:colOff>104775</xdr:colOff>
      <xdr:row>90</xdr:row>
      <xdr:rowOff>171450</xdr:rowOff>
    </xdr:to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xmlns="" id="{00000000-0008-0000-0800-000033000000}"/>
            </a:ext>
          </a:extLst>
        </xdr:cNvPr>
        <xdr:cNvSpPr txBox="1">
          <a:spLocks noChangeArrowheads="1"/>
        </xdr:cNvSpPr>
      </xdr:nvSpPr>
      <xdr:spPr bwMode="auto">
        <a:xfrm>
          <a:off x="0" y="32985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xmlns="" id="{00000000-0008-0000-0800-000034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xmlns="" id="{00000000-0008-0000-0800-000035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xmlns="" id="{00000000-0008-0000-0800-000036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xmlns="" id="{00000000-0008-0000-0800-000037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xmlns="" id="{00000000-0008-0000-0800-000038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xmlns="" id="{00000000-0008-0000-0800-000039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xmlns="" id="{00000000-0008-0000-0800-00003A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xmlns="" id="{00000000-0008-0000-0800-00003B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xmlns="" id="{00000000-0008-0000-0800-000045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xmlns="" id="{00000000-0008-0000-0800-000046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xmlns="" id="{00000000-0008-0000-0800-000047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xmlns="" id="{00000000-0008-0000-0800-000048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xmlns="" id="{00000000-0008-0000-0800-000049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xmlns="" id="{00000000-0008-0000-0800-00004A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xmlns="" id="{00000000-0008-0000-0800-00004B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xmlns="" id="{00000000-0008-0000-0800-00004C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94</xdr:row>
      <xdr:rowOff>0</xdr:rowOff>
    </xdr:from>
    <xdr:to>
      <xdr:col>7</xdr:col>
      <xdr:colOff>104775</xdr:colOff>
      <xdr:row>94</xdr:row>
      <xdr:rowOff>171450</xdr:rowOff>
    </xdr:to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xmlns="" id="{00000000-0008-0000-0800-00004D000000}"/>
            </a:ext>
          </a:extLst>
        </xdr:cNvPr>
        <xdr:cNvSpPr txBox="1">
          <a:spLocks noChangeArrowheads="1"/>
        </xdr:cNvSpPr>
      </xdr:nvSpPr>
      <xdr:spPr bwMode="auto">
        <a:xfrm>
          <a:off x="0" y="34147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xmlns="" id="{00000000-0008-0000-0800-00004E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104775</xdr:colOff>
      <xdr:row>20</xdr:row>
      <xdr:rowOff>171450</xdr:rowOff>
    </xdr:to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xmlns="" id="{00000000-0008-0000-0800-00004F00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B00-00000A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0000000-0008-0000-0B00-00000B000000}"/>
            </a:ext>
          </a:extLst>
        </xdr:cNvPr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00000000-0008-0000-0B00-00000D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0B00-00000E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B00-00000F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00000000-0008-0000-0B00-000011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00000000-0008-0000-0B00-000013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0B00-000016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B00-00001A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B00-00001B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B00-00001E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163419</xdr:rowOff>
    </xdr:to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B00-00001F000000}"/>
            </a:ext>
          </a:extLst>
        </xdr:cNvPr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B00-000020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B00-000021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B00-000022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B00-000024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B00-000025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104775</xdr:colOff>
      <xdr:row>100</xdr:row>
      <xdr:rowOff>161304</xdr:rowOff>
    </xdr:to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B00-000034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B00-000035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B00-000036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B00-000037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B00-000038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B00-000039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B00-00003A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B00-00003B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B00-00003C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B00-00003D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00000000-0008-0000-0B00-00003E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00000000-0008-0000-0B00-00003F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00000000-0008-0000-0B00-000040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00000000-0008-0000-0B00-000041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00000000-0008-0000-0B00-000042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00000000-0008-0000-0B00-000043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00000000-0008-0000-0B00-000044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B00-000045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B00-000046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B00-000047000000}"/>
            </a:ext>
          </a:extLst>
        </xdr:cNvPr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00000000-0008-0000-0B00-000065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B00-000066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B00-000067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B00-000068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B00-000069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B00-00006A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B00-00006B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B00-00006C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B00-00006D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B00-00006E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B00-00006F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B00-000070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B00-000071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B00-000072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B00-000073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B00-000074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B00-000075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B00-000076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B00-000077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B00-000078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B00-000079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B00-00007A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B00-00007B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B00-00007C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B00-00007D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B00-00007E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B00-00007F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B00-000080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171450</xdr:rowOff>
    </xdr:to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B00-000081000000}"/>
            </a:ext>
          </a:extLst>
        </xdr:cNvPr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00000000-0008-0000-0B00-00005B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00000000-0008-0000-0B00-00005C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00000000-0008-0000-0B00-00005D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00000000-0008-0000-0B00-00005E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00000000-0008-0000-0B00-00005F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00000000-0008-0000-0B00-000060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00000000-0008-0000-0B00-000061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B00-000062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00000000-0008-0000-0B00-000063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152400</xdr:rowOff>
    </xdr:from>
    <xdr:to>
      <xdr:col>0</xdr:col>
      <xdr:colOff>104775</xdr:colOff>
      <xdr:row>26</xdr:row>
      <xdr:rowOff>124791</xdr:rowOff>
    </xdr:to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00000000-0008-0000-0B00-000064000000}"/>
            </a:ext>
          </a:extLst>
        </xdr:cNvPr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25</xdr:row>
      <xdr:rowOff>0</xdr:rowOff>
    </xdr:from>
    <xdr:ext cx="85725" cy="510"/>
    <xdr:sp macro="" textlink="">
      <xdr:nvSpPr>
        <xdr:cNvPr id="130" name="Text Box 9">
          <a:extLst>
            <a:ext uri="{FF2B5EF4-FFF2-40B4-BE49-F238E27FC236}">
              <a16:creationId xmlns="" xmlns:a16="http://schemas.microsoft.com/office/drawing/2014/main" id="{00000000-0008-0000-0B00-000082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85725" cy="510"/>
    <xdr:sp macro="" textlink="">
      <xdr:nvSpPr>
        <xdr:cNvPr id="131" name="Text Box 9">
          <a:extLst>
            <a:ext uri="{FF2B5EF4-FFF2-40B4-BE49-F238E27FC236}">
              <a16:creationId xmlns="" xmlns:a16="http://schemas.microsoft.com/office/drawing/2014/main" id="{00000000-0008-0000-0B00-000083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B00-000084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B00-000085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B00-000086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B00-000087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B00-000088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B00-000089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B00-00008A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B00-00008B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B00-00008C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0</xdr:rowOff>
    </xdr:from>
    <xdr:ext cx="104775" cy="171450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B00-00008D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B00-00008E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B00-00008F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4" name="Text Box 1">
          <a:extLst>
            <a:ext uri="{FF2B5EF4-FFF2-40B4-BE49-F238E27FC236}">
              <a16:creationId xmlns="" xmlns:a16="http://schemas.microsoft.com/office/drawing/2014/main" id="{00000000-0008-0000-0B00-000090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5" name="Text Box 1">
          <a:extLst>
            <a:ext uri="{FF2B5EF4-FFF2-40B4-BE49-F238E27FC236}">
              <a16:creationId xmlns="" xmlns:a16="http://schemas.microsoft.com/office/drawing/2014/main" id="{00000000-0008-0000-0B00-000091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6" name="Text Box 1">
          <a:extLst>
            <a:ext uri="{FF2B5EF4-FFF2-40B4-BE49-F238E27FC236}">
              <a16:creationId xmlns="" xmlns:a16="http://schemas.microsoft.com/office/drawing/2014/main" id="{00000000-0008-0000-0B00-000092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7" name="Text Box 1">
          <a:extLst>
            <a:ext uri="{FF2B5EF4-FFF2-40B4-BE49-F238E27FC236}">
              <a16:creationId xmlns="" xmlns:a16="http://schemas.microsoft.com/office/drawing/2014/main" id="{00000000-0008-0000-0B00-000093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8" name="Text Box 1">
          <a:extLst>
            <a:ext uri="{FF2B5EF4-FFF2-40B4-BE49-F238E27FC236}">
              <a16:creationId xmlns="" xmlns:a16="http://schemas.microsoft.com/office/drawing/2014/main" id="{00000000-0008-0000-0B00-000094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49" name="Text Box 1">
          <a:extLst>
            <a:ext uri="{FF2B5EF4-FFF2-40B4-BE49-F238E27FC236}">
              <a16:creationId xmlns="" xmlns:a16="http://schemas.microsoft.com/office/drawing/2014/main" id="{00000000-0008-0000-0B00-000095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50" name="Text Box 1">
          <a:extLst>
            <a:ext uri="{FF2B5EF4-FFF2-40B4-BE49-F238E27FC236}">
              <a16:creationId xmlns="" xmlns:a16="http://schemas.microsoft.com/office/drawing/2014/main" id="{00000000-0008-0000-0B00-000096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51" name="Text Box 1">
          <a:extLst>
            <a:ext uri="{FF2B5EF4-FFF2-40B4-BE49-F238E27FC236}">
              <a16:creationId xmlns="" xmlns:a16="http://schemas.microsoft.com/office/drawing/2014/main" id="{00000000-0008-0000-0B00-000097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52" name="Text Box 1">
          <a:extLst>
            <a:ext uri="{FF2B5EF4-FFF2-40B4-BE49-F238E27FC236}">
              <a16:creationId xmlns="" xmlns:a16="http://schemas.microsoft.com/office/drawing/2014/main" id="{00000000-0008-0000-0B00-000098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104775</xdr:colOff>
      <xdr:row>25</xdr:row>
      <xdr:rowOff>171450</xdr:rowOff>
    </xdr:to>
    <xdr:sp macro="" textlink="">
      <xdr:nvSpPr>
        <xdr:cNvPr id="153" name="Text Box 1">
          <a:extLst>
            <a:ext uri="{FF2B5EF4-FFF2-40B4-BE49-F238E27FC236}">
              <a16:creationId xmlns="" xmlns:a16="http://schemas.microsoft.com/office/drawing/2014/main" id="{00000000-0008-0000-0B00-000099000000}"/>
            </a:ext>
          </a:extLst>
        </xdr:cNvPr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4" name="Text Box 1">
          <a:extLst>
            <a:ext uri="{FF2B5EF4-FFF2-40B4-BE49-F238E27FC236}">
              <a16:creationId xmlns="" xmlns:a16="http://schemas.microsoft.com/office/drawing/2014/main" id="{00000000-0008-0000-0B00-00009A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5" name="Text Box 1">
          <a:extLst>
            <a:ext uri="{FF2B5EF4-FFF2-40B4-BE49-F238E27FC236}">
              <a16:creationId xmlns="" xmlns:a16="http://schemas.microsoft.com/office/drawing/2014/main" id="{00000000-0008-0000-0B00-00009B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6" name="Text Box 1">
          <a:extLst>
            <a:ext uri="{FF2B5EF4-FFF2-40B4-BE49-F238E27FC236}">
              <a16:creationId xmlns="" xmlns:a16="http://schemas.microsoft.com/office/drawing/2014/main" id="{00000000-0008-0000-0B00-00009C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7" name="Text Box 1">
          <a:extLst>
            <a:ext uri="{FF2B5EF4-FFF2-40B4-BE49-F238E27FC236}">
              <a16:creationId xmlns="" xmlns:a16="http://schemas.microsoft.com/office/drawing/2014/main" id="{00000000-0008-0000-0B00-00009D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8" name="Text Box 1">
          <a:extLst>
            <a:ext uri="{FF2B5EF4-FFF2-40B4-BE49-F238E27FC236}">
              <a16:creationId xmlns="" xmlns:a16="http://schemas.microsoft.com/office/drawing/2014/main" id="{00000000-0008-0000-0B00-00009E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59" name="Text Box 1">
          <a:extLst>
            <a:ext uri="{FF2B5EF4-FFF2-40B4-BE49-F238E27FC236}">
              <a16:creationId xmlns="" xmlns:a16="http://schemas.microsoft.com/office/drawing/2014/main" id="{00000000-0008-0000-0B00-00009F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0" name="Text Box 1">
          <a:extLst>
            <a:ext uri="{FF2B5EF4-FFF2-40B4-BE49-F238E27FC236}">
              <a16:creationId xmlns="" xmlns:a16="http://schemas.microsoft.com/office/drawing/2014/main" id="{00000000-0008-0000-0B00-0000A0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1" name="Text Box 1">
          <a:extLst>
            <a:ext uri="{FF2B5EF4-FFF2-40B4-BE49-F238E27FC236}">
              <a16:creationId xmlns="" xmlns:a16="http://schemas.microsoft.com/office/drawing/2014/main" id="{00000000-0008-0000-0B00-0000A1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2" name="Text Box 1">
          <a:extLst>
            <a:ext uri="{FF2B5EF4-FFF2-40B4-BE49-F238E27FC236}">
              <a16:creationId xmlns="" xmlns:a16="http://schemas.microsoft.com/office/drawing/2014/main" id="{00000000-0008-0000-0B00-0000A2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3" name="Text Box 1">
          <a:extLst>
            <a:ext uri="{FF2B5EF4-FFF2-40B4-BE49-F238E27FC236}">
              <a16:creationId xmlns="" xmlns:a16="http://schemas.microsoft.com/office/drawing/2014/main" id="{00000000-0008-0000-0B00-0000A3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4" name="Text Box 1">
          <a:extLst>
            <a:ext uri="{FF2B5EF4-FFF2-40B4-BE49-F238E27FC236}">
              <a16:creationId xmlns="" xmlns:a16="http://schemas.microsoft.com/office/drawing/2014/main" id="{00000000-0008-0000-0B00-0000A4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5" name="Text Box 1">
          <a:extLst>
            <a:ext uri="{FF2B5EF4-FFF2-40B4-BE49-F238E27FC236}">
              <a16:creationId xmlns="" xmlns:a16="http://schemas.microsoft.com/office/drawing/2014/main" id="{00000000-0008-0000-0B00-0000A5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6" name="Text Box 1">
          <a:extLst>
            <a:ext uri="{FF2B5EF4-FFF2-40B4-BE49-F238E27FC236}">
              <a16:creationId xmlns="" xmlns:a16="http://schemas.microsoft.com/office/drawing/2014/main" id="{00000000-0008-0000-0B00-0000A6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7" name="Text Box 1">
          <a:extLst>
            <a:ext uri="{FF2B5EF4-FFF2-40B4-BE49-F238E27FC236}">
              <a16:creationId xmlns="" xmlns:a16="http://schemas.microsoft.com/office/drawing/2014/main" id="{00000000-0008-0000-0B00-0000A7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8" name="Text Box 1">
          <a:extLst>
            <a:ext uri="{FF2B5EF4-FFF2-40B4-BE49-F238E27FC236}">
              <a16:creationId xmlns="" xmlns:a16="http://schemas.microsoft.com/office/drawing/2014/main" id="{00000000-0008-0000-0B00-0000A8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69" name="Text Box 1">
          <a:extLst>
            <a:ext uri="{FF2B5EF4-FFF2-40B4-BE49-F238E27FC236}">
              <a16:creationId xmlns="" xmlns:a16="http://schemas.microsoft.com/office/drawing/2014/main" id="{00000000-0008-0000-0B00-0000A9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0" name="Text Box 1">
          <a:extLst>
            <a:ext uri="{FF2B5EF4-FFF2-40B4-BE49-F238E27FC236}">
              <a16:creationId xmlns="" xmlns:a16="http://schemas.microsoft.com/office/drawing/2014/main" id="{00000000-0008-0000-0B00-0000AA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1" name="Text Box 1">
          <a:extLst>
            <a:ext uri="{FF2B5EF4-FFF2-40B4-BE49-F238E27FC236}">
              <a16:creationId xmlns="" xmlns:a16="http://schemas.microsoft.com/office/drawing/2014/main" id="{00000000-0008-0000-0B00-0000AB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2" name="Text Box 1">
          <a:extLst>
            <a:ext uri="{FF2B5EF4-FFF2-40B4-BE49-F238E27FC236}">
              <a16:creationId xmlns="" xmlns:a16="http://schemas.microsoft.com/office/drawing/2014/main" id="{00000000-0008-0000-0B00-0000AC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3" name="Text Box 1">
          <a:extLst>
            <a:ext uri="{FF2B5EF4-FFF2-40B4-BE49-F238E27FC236}">
              <a16:creationId xmlns="" xmlns:a16="http://schemas.microsoft.com/office/drawing/2014/main" id="{00000000-0008-0000-0B00-0000AD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4" name="Text Box 1">
          <a:extLst>
            <a:ext uri="{FF2B5EF4-FFF2-40B4-BE49-F238E27FC236}">
              <a16:creationId xmlns="" xmlns:a16="http://schemas.microsoft.com/office/drawing/2014/main" id="{00000000-0008-0000-0B00-0000AE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5" name="Text Box 1">
          <a:extLst>
            <a:ext uri="{FF2B5EF4-FFF2-40B4-BE49-F238E27FC236}">
              <a16:creationId xmlns="" xmlns:a16="http://schemas.microsoft.com/office/drawing/2014/main" id="{00000000-0008-0000-0B00-0000AF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6" name="Text Box 1">
          <a:extLst>
            <a:ext uri="{FF2B5EF4-FFF2-40B4-BE49-F238E27FC236}">
              <a16:creationId xmlns="" xmlns:a16="http://schemas.microsoft.com/office/drawing/2014/main" id="{00000000-0008-0000-0B00-0000B0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7" name="Text Box 1">
          <a:extLst>
            <a:ext uri="{FF2B5EF4-FFF2-40B4-BE49-F238E27FC236}">
              <a16:creationId xmlns="" xmlns:a16="http://schemas.microsoft.com/office/drawing/2014/main" id="{00000000-0008-0000-0B00-0000B1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8" name="Text Box 1">
          <a:extLst>
            <a:ext uri="{FF2B5EF4-FFF2-40B4-BE49-F238E27FC236}">
              <a16:creationId xmlns="" xmlns:a16="http://schemas.microsoft.com/office/drawing/2014/main" id="{00000000-0008-0000-0B00-0000B2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79" name="Text Box 1">
          <a:extLst>
            <a:ext uri="{FF2B5EF4-FFF2-40B4-BE49-F238E27FC236}">
              <a16:creationId xmlns="" xmlns:a16="http://schemas.microsoft.com/office/drawing/2014/main" id="{00000000-0008-0000-0B00-0000B3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80" name="Text Box 1">
          <a:extLst>
            <a:ext uri="{FF2B5EF4-FFF2-40B4-BE49-F238E27FC236}">
              <a16:creationId xmlns="" xmlns:a16="http://schemas.microsoft.com/office/drawing/2014/main" id="{00000000-0008-0000-0B00-0000B4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81" name="Text Box 1">
          <a:extLst>
            <a:ext uri="{FF2B5EF4-FFF2-40B4-BE49-F238E27FC236}">
              <a16:creationId xmlns="" xmlns:a16="http://schemas.microsoft.com/office/drawing/2014/main" id="{00000000-0008-0000-0B00-0000B5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82" name="Text Box 1">
          <a:extLst>
            <a:ext uri="{FF2B5EF4-FFF2-40B4-BE49-F238E27FC236}">
              <a16:creationId xmlns="" xmlns:a16="http://schemas.microsoft.com/office/drawing/2014/main" id="{00000000-0008-0000-0B00-0000B6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83" name="Text Box 1">
          <a:extLst>
            <a:ext uri="{FF2B5EF4-FFF2-40B4-BE49-F238E27FC236}">
              <a16:creationId xmlns="" xmlns:a16="http://schemas.microsoft.com/office/drawing/2014/main" id="{00000000-0008-0000-0B00-0000B7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4" name="Text Box 1">
          <a:extLst>
            <a:ext uri="{FF2B5EF4-FFF2-40B4-BE49-F238E27FC236}">
              <a16:creationId xmlns="" xmlns:a16="http://schemas.microsoft.com/office/drawing/2014/main" id="{00000000-0008-0000-0B00-0000B8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5" name="Text Box 1">
          <a:extLst>
            <a:ext uri="{FF2B5EF4-FFF2-40B4-BE49-F238E27FC236}">
              <a16:creationId xmlns="" xmlns:a16="http://schemas.microsoft.com/office/drawing/2014/main" id="{00000000-0008-0000-0B00-0000B9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6" name="Text Box 1">
          <a:extLst>
            <a:ext uri="{FF2B5EF4-FFF2-40B4-BE49-F238E27FC236}">
              <a16:creationId xmlns="" xmlns:a16="http://schemas.microsoft.com/office/drawing/2014/main" id="{00000000-0008-0000-0B00-0000BA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7" name="Text Box 1">
          <a:extLst>
            <a:ext uri="{FF2B5EF4-FFF2-40B4-BE49-F238E27FC236}">
              <a16:creationId xmlns="" xmlns:a16="http://schemas.microsoft.com/office/drawing/2014/main" id="{00000000-0008-0000-0B00-0000BB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8" name="Text Box 1">
          <a:extLst>
            <a:ext uri="{FF2B5EF4-FFF2-40B4-BE49-F238E27FC236}">
              <a16:creationId xmlns="" xmlns:a16="http://schemas.microsoft.com/office/drawing/2014/main" id="{00000000-0008-0000-0B00-0000BC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89" name="Text Box 1">
          <a:extLst>
            <a:ext uri="{FF2B5EF4-FFF2-40B4-BE49-F238E27FC236}">
              <a16:creationId xmlns="" xmlns:a16="http://schemas.microsoft.com/office/drawing/2014/main" id="{00000000-0008-0000-0B00-0000BD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90" name="Text Box 1">
          <a:extLst>
            <a:ext uri="{FF2B5EF4-FFF2-40B4-BE49-F238E27FC236}">
              <a16:creationId xmlns="" xmlns:a16="http://schemas.microsoft.com/office/drawing/2014/main" id="{00000000-0008-0000-0B00-0000BE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91" name="Text Box 1">
          <a:extLst>
            <a:ext uri="{FF2B5EF4-FFF2-40B4-BE49-F238E27FC236}">
              <a16:creationId xmlns="" xmlns:a16="http://schemas.microsoft.com/office/drawing/2014/main" id="{00000000-0008-0000-0B00-0000BF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92" name="Text Box 1">
          <a:extLst>
            <a:ext uri="{FF2B5EF4-FFF2-40B4-BE49-F238E27FC236}">
              <a16:creationId xmlns="" xmlns:a16="http://schemas.microsoft.com/office/drawing/2014/main" id="{00000000-0008-0000-0B00-0000C0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193" name="Text Box 1">
          <a:extLst>
            <a:ext uri="{FF2B5EF4-FFF2-40B4-BE49-F238E27FC236}">
              <a16:creationId xmlns="" xmlns:a16="http://schemas.microsoft.com/office/drawing/2014/main" id="{00000000-0008-0000-0B00-0000C1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4" name="Text Box 1">
          <a:extLst>
            <a:ext uri="{FF2B5EF4-FFF2-40B4-BE49-F238E27FC236}">
              <a16:creationId xmlns="" xmlns:a16="http://schemas.microsoft.com/office/drawing/2014/main" id="{00000000-0008-0000-0B00-0000C2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5" name="Text Box 1">
          <a:extLst>
            <a:ext uri="{FF2B5EF4-FFF2-40B4-BE49-F238E27FC236}">
              <a16:creationId xmlns="" xmlns:a16="http://schemas.microsoft.com/office/drawing/2014/main" id="{00000000-0008-0000-0B00-0000C3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6" name="Text Box 1">
          <a:extLst>
            <a:ext uri="{FF2B5EF4-FFF2-40B4-BE49-F238E27FC236}">
              <a16:creationId xmlns="" xmlns:a16="http://schemas.microsoft.com/office/drawing/2014/main" id="{00000000-0008-0000-0B00-0000C4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7" name="Text Box 1">
          <a:extLst>
            <a:ext uri="{FF2B5EF4-FFF2-40B4-BE49-F238E27FC236}">
              <a16:creationId xmlns="" xmlns:a16="http://schemas.microsoft.com/office/drawing/2014/main" id="{00000000-0008-0000-0B00-0000C5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8" name="Text Box 1">
          <a:extLst>
            <a:ext uri="{FF2B5EF4-FFF2-40B4-BE49-F238E27FC236}">
              <a16:creationId xmlns="" xmlns:a16="http://schemas.microsoft.com/office/drawing/2014/main" id="{00000000-0008-0000-0B00-0000C6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199" name="Text Box 1">
          <a:extLst>
            <a:ext uri="{FF2B5EF4-FFF2-40B4-BE49-F238E27FC236}">
              <a16:creationId xmlns="" xmlns:a16="http://schemas.microsoft.com/office/drawing/2014/main" id="{00000000-0008-0000-0B00-0000C7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0" name="Text Box 1">
          <a:extLst>
            <a:ext uri="{FF2B5EF4-FFF2-40B4-BE49-F238E27FC236}">
              <a16:creationId xmlns="" xmlns:a16="http://schemas.microsoft.com/office/drawing/2014/main" id="{00000000-0008-0000-0B00-0000C8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1" name="Text Box 1">
          <a:extLst>
            <a:ext uri="{FF2B5EF4-FFF2-40B4-BE49-F238E27FC236}">
              <a16:creationId xmlns="" xmlns:a16="http://schemas.microsoft.com/office/drawing/2014/main" id="{00000000-0008-0000-0B00-0000C9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2" name="Text Box 1">
          <a:extLst>
            <a:ext uri="{FF2B5EF4-FFF2-40B4-BE49-F238E27FC236}">
              <a16:creationId xmlns="" xmlns:a16="http://schemas.microsoft.com/office/drawing/2014/main" id="{00000000-0008-0000-0B00-0000CA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3" name="Text Box 1">
          <a:extLst>
            <a:ext uri="{FF2B5EF4-FFF2-40B4-BE49-F238E27FC236}">
              <a16:creationId xmlns="" xmlns:a16="http://schemas.microsoft.com/office/drawing/2014/main" id="{00000000-0008-0000-0B00-0000CB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4" name="Text Box 1">
          <a:extLst>
            <a:ext uri="{FF2B5EF4-FFF2-40B4-BE49-F238E27FC236}">
              <a16:creationId xmlns="" xmlns:a16="http://schemas.microsoft.com/office/drawing/2014/main" id="{00000000-0008-0000-0B00-0000CC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5" name="Text Box 1">
          <a:extLst>
            <a:ext uri="{FF2B5EF4-FFF2-40B4-BE49-F238E27FC236}">
              <a16:creationId xmlns="" xmlns:a16="http://schemas.microsoft.com/office/drawing/2014/main" id="{00000000-0008-0000-0B00-0000CD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6" name="Text Box 1">
          <a:extLst>
            <a:ext uri="{FF2B5EF4-FFF2-40B4-BE49-F238E27FC236}">
              <a16:creationId xmlns="" xmlns:a16="http://schemas.microsoft.com/office/drawing/2014/main" id="{00000000-0008-0000-0B00-0000CE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7" name="Text Box 1">
          <a:extLst>
            <a:ext uri="{FF2B5EF4-FFF2-40B4-BE49-F238E27FC236}">
              <a16:creationId xmlns="" xmlns:a16="http://schemas.microsoft.com/office/drawing/2014/main" id="{00000000-0008-0000-0B00-0000CF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8" name="Text Box 1">
          <a:extLst>
            <a:ext uri="{FF2B5EF4-FFF2-40B4-BE49-F238E27FC236}">
              <a16:creationId xmlns="" xmlns:a16="http://schemas.microsoft.com/office/drawing/2014/main" id="{00000000-0008-0000-0B00-0000D0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09" name="Text Box 1">
          <a:extLst>
            <a:ext uri="{FF2B5EF4-FFF2-40B4-BE49-F238E27FC236}">
              <a16:creationId xmlns="" xmlns:a16="http://schemas.microsoft.com/office/drawing/2014/main" id="{00000000-0008-0000-0B00-0000D1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0" name="Text Box 1">
          <a:extLst>
            <a:ext uri="{FF2B5EF4-FFF2-40B4-BE49-F238E27FC236}">
              <a16:creationId xmlns="" xmlns:a16="http://schemas.microsoft.com/office/drawing/2014/main" id="{00000000-0008-0000-0B00-0000D2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1" name="Text Box 1">
          <a:extLst>
            <a:ext uri="{FF2B5EF4-FFF2-40B4-BE49-F238E27FC236}">
              <a16:creationId xmlns="" xmlns:a16="http://schemas.microsoft.com/office/drawing/2014/main" id="{00000000-0008-0000-0B00-0000D3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2" name="Text Box 1">
          <a:extLst>
            <a:ext uri="{FF2B5EF4-FFF2-40B4-BE49-F238E27FC236}">
              <a16:creationId xmlns="" xmlns:a16="http://schemas.microsoft.com/office/drawing/2014/main" id="{00000000-0008-0000-0B00-0000D4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3" name="Text Box 1">
          <a:extLst>
            <a:ext uri="{FF2B5EF4-FFF2-40B4-BE49-F238E27FC236}">
              <a16:creationId xmlns="" xmlns:a16="http://schemas.microsoft.com/office/drawing/2014/main" id="{00000000-0008-0000-0B00-0000D5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4" name="Text Box 1">
          <a:extLst>
            <a:ext uri="{FF2B5EF4-FFF2-40B4-BE49-F238E27FC236}">
              <a16:creationId xmlns="" xmlns:a16="http://schemas.microsoft.com/office/drawing/2014/main" id="{00000000-0008-0000-0B00-0000D6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5" name="Text Box 1">
          <a:extLst>
            <a:ext uri="{FF2B5EF4-FFF2-40B4-BE49-F238E27FC236}">
              <a16:creationId xmlns="" xmlns:a16="http://schemas.microsoft.com/office/drawing/2014/main" id="{00000000-0008-0000-0B00-0000D7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6" name="Text Box 1">
          <a:extLst>
            <a:ext uri="{FF2B5EF4-FFF2-40B4-BE49-F238E27FC236}">
              <a16:creationId xmlns="" xmlns:a16="http://schemas.microsoft.com/office/drawing/2014/main" id="{00000000-0008-0000-0B00-0000D8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7" name="Text Box 1">
          <a:extLst>
            <a:ext uri="{FF2B5EF4-FFF2-40B4-BE49-F238E27FC236}">
              <a16:creationId xmlns="" xmlns:a16="http://schemas.microsoft.com/office/drawing/2014/main" id="{00000000-0008-0000-0B00-0000D9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8" name="Text Box 1">
          <a:extLst>
            <a:ext uri="{FF2B5EF4-FFF2-40B4-BE49-F238E27FC236}">
              <a16:creationId xmlns="" xmlns:a16="http://schemas.microsoft.com/office/drawing/2014/main" id="{00000000-0008-0000-0B00-0000DA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19" name="Text Box 1">
          <a:extLst>
            <a:ext uri="{FF2B5EF4-FFF2-40B4-BE49-F238E27FC236}">
              <a16:creationId xmlns="" xmlns:a16="http://schemas.microsoft.com/office/drawing/2014/main" id="{00000000-0008-0000-0B00-0000DB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20" name="Text Box 1">
          <a:extLst>
            <a:ext uri="{FF2B5EF4-FFF2-40B4-BE49-F238E27FC236}">
              <a16:creationId xmlns="" xmlns:a16="http://schemas.microsoft.com/office/drawing/2014/main" id="{00000000-0008-0000-0B00-0000DC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21" name="Text Box 1">
          <a:extLst>
            <a:ext uri="{FF2B5EF4-FFF2-40B4-BE49-F238E27FC236}">
              <a16:creationId xmlns="" xmlns:a16="http://schemas.microsoft.com/office/drawing/2014/main" id="{00000000-0008-0000-0B00-0000DD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22" name="Text Box 1">
          <a:extLst>
            <a:ext uri="{FF2B5EF4-FFF2-40B4-BE49-F238E27FC236}">
              <a16:creationId xmlns="" xmlns:a16="http://schemas.microsoft.com/office/drawing/2014/main" id="{00000000-0008-0000-0B00-0000DE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23" name="Text Box 1">
          <a:extLst>
            <a:ext uri="{FF2B5EF4-FFF2-40B4-BE49-F238E27FC236}">
              <a16:creationId xmlns="" xmlns:a16="http://schemas.microsoft.com/office/drawing/2014/main" id="{00000000-0008-0000-0B00-0000DF00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4" name="Text Box 1">
          <a:extLst>
            <a:ext uri="{FF2B5EF4-FFF2-40B4-BE49-F238E27FC236}">
              <a16:creationId xmlns="" xmlns:a16="http://schemas.microsoft.com/office/drawing/2014/main" id="{00000000-0008-0000-0B00-0000E0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5" name="Text Box 1">
          <a:extLst>
            <a:ext uri="{FF2B5EF4-FFF2-40B4-BE49-F238E27FC236}">
              <a16:creationId xmlns="" xmlns:a16="http://schemas.microsoft.com/office/drawing/2014/main" id="{00000000-0008-0000-0B00-0000E1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6" name="Text Box 1">
          <a:extLst>
            <a:ext uri="{FF2B5EF4-FFF2-40B4-BE49-F238E27FC236}">
              <a16:creationId xmlns="" xmlns:a16="http://schemas.microsoft.com/office/drawing/2014/main" id="{00000000-0008-0000-0B00-0000E2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7" name="Text Box 1">
          <a:extLst>
            <a:ext uri="{FF2B5EF4-FFF2-40B4-BE49-F238E27FC236}">
              <a16:creationId xmlns="" xmlns:a16="http://schemas.microsoft.com/office/drawing/2014/main" id="{00000000-0008-0000-0B00-0000E3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8" name="Text Box 1">
          <a:extLst>
            <a:ext uri="{FF2B5EF4-FFF2-40B4-BE49-F238E27FC236}">
              <a16:creationId xmlns="" xmlns:a16="http://schemas.microsoft.com/office/drawing/2014/main" id="{00000000-0008-0000-0B00-0000E4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29" name="Text Box 1">
          <a:extLst>
            <a:ext uri="{FF2B5EF4-FFF2-40B4-BE49-F238E27FC236}">
              <a16:creationId xmlns="" xmlns:a16="http://schemas.microsoft.com/office/drawing/2014/main" id="{00000000-0008-0000-0B00-0000E5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30" name="Text Box 1">
          <a:extLst>
            <a:ext uri="{FF2B5EF4-FFF2-40B4-BE49-F238E27FC236}">
              <a16:creationId xmlns="" xmlns:a16="http://schemas.microsoft.com/office/drawing/2014/main" id="{00000000-0008-0000-0B00-0000E6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31" name="Text Box 1">
          <a:extLst>
            <a:ext uri="{FF2B5EF4-FFF2-40B4-BE49-F238E27FC236}">
              <a16:creationId xmlns="" xmlns:a16="http://schemas.microsoft.com/office/drawing/2014/main" id="{00000000-0008-0000-0B00-0000E7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32" name="Text Box 1">
          <a:extLst>
            <a:ext uri="{FF2B5EF4-FFF2-40B4-BE49-F238E27FC236}">
              <a16:creationId xmlns="" xmlns:a16="http://schemas.microsoft.com/office/drawing/2014/main" id="{00000000-0008-0000-0B00-0000E8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1304"/>
    <xdr:sp macro="" textlink="">
      <xdr:nvSpPr>
        <xdr:cNvPr id="233" name="Text Box 1">
          <a:extLst>
            <a:ext uri="{FF2B5EF4-FFF2-40B4-BE49-F238E27FC236}">
              <a16:creationId xmlns="" xmlns:a16="http://schemas.microsoft.com/office/drawing/2014/main" id="{00000000-0008-0000-0B00-0000E9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4" name="Text Box 1">
          <a:extLst>
            <a:ext uri="{FF2B5EF4-FFF2-40B4-BE49-F238E27FC236}">
              <a16:creationId xmlns="" xmlns:a16="http://schemas.microsoft.com/office/drawing/2014/main" id="{00000000-0008-0000-0B00-0000EA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5" name="Text Box 1">
          <a:extLst>
            <a:ext uri="{FF2B5EF4-FFF2-40B4-BE49-F238E27FC236}">
              <a16:creationId xmlns="" xmlns:a16="http://schemas.microsoft.com/office/drawing/2014/main" id="{00000000-0008-0000-0B00-0000EB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6" name="Text Box 1">
          <a:extLst>
            <a:ext uri="{FF2B5EF4-FFF2-40B4-BE49-F238E27FC236}">
              <a16:creationId xmlns="" xmlns:a16="http://schemas.microsoft.com/office/drawing/2014/main" id="{00000000-0008-0000-0B00-0000EC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7" name="Text Box 1">
          <a:extLst>
            <a:ext uri="{FF2B5EF4-FFF2-40B4-BE49-F238E27FC236}">
              <a16:creationId xmlns="" xmlns:a16="http://schemas.microsoft.com/office/drawing/2014/main" id="{00000000-0008-0000-0B00-0000ED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8" name="Text Box 1">
          <a:extLst>
            <a:ext uri="{FF2B5EF4-FFF2-40B4-BE49-F238E27FC236}">
              <a16:creationId xmlns="" xmlns:a16="http://schemas.microsoft.com/office/drawing/2014/main" id="{00000000-0008-0000-0B00-0000EE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39" name="Text Box 1">
          <a:extLst>
            <a:ext uri="{FF2B5EF4-FFF2-40B4-BE49-F238E27FC236}">
              <a16:creationId xmlns="" xmlns:a16="http://schemas.microsoft.com/office/drawing/2014/main" id="{00000000-0008-0000-0B00-0000EF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40" name="Text Box 1">
          <a:extLst>
            <a:ext uri="{FF2B5EF4-FFF2-40B4-BE49-F238E27FC236}">
              <a16:creationId xmlns="" xmlns:a16="http://schemas.microsoft.com/office/drawing/2014/main" id="{00000000-0008-0000-0B00-0000F0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41" name="Text Box 1">
          <a:extLst>
            <a:ext uri="{FF2B5EF4-FFF2-40B4-BE49-F238E27FC236}">
              <a16:creationId xmlns="" xmlns:a16="http://schemas.microsoft.com/office/drawing/2014/main" id="{00000000-0008-0000-0B00-0000F1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42" name="Text Box 1">
          <a:extLst>
            <a:ext uri="{FF2B5EF4-FFF2-40B4-BE49-F238E27FC236}">
              <a16:creationId xmlns="" xmlns:a16="http://schemas.microsoft.com/office/drawing/2014/main" id="{00000000-0008-0000-0B00-0000F2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43" name="Text Box 1">
          <a:extLst>
            <a:ext uri="{FF2B5EF4-FFF2-40B4-BE49-F238E27FC236}">
              <a16:creationId xmlns="" xmlns:a16="http://schemas.microsoft.com/office/drawing/2014/main" id="{00000000-0008-0000-0B00-0000F300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4" name="Text Box 1">
          <a:extLst>
            <a:ext uri="{FF2B5EF4-FFF2-40B4-BE49-F238E27FC236}">
              <a16:creationId xmlns="" xmlns:a16="http://schemas.microsoft.com/office/drawing/2014/main" id="{00000000-0008-0000-0B00-0000F4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5" name="Text Box 1">
          <a:extLst>
            <a:ext uri="{FF2B5EF4-FFF2-40B4-BE49-F238E27FC236}">
              <a16:creationId xmlns="" xmlns:a16="http://schemas.microsoft.com/office/drawing/2014/main" id="{00000000-0008-0000-0B00-0000F5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6" name="Text Box 1">
          <a:extLst>
            <a:ext uri="{FF2B5EF4-FFF2-40B4-BE49-F238E27FC236}">
              <a16:creationId xmlns="" xmlns:a16="http://schemas.microsoft.com/office/drawing/2014/main" id="{00000000-0008-0000-0B00-0000F6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7" name="Text Box 1">
          <a:extLst>
            <a:ext uri="{FF2B5EF4-FFF2-40B4-BE49-F238E27FC236}">
              <a16:creationId xmlns="" xmlns:a16="http://schemas.microsoft.com/office/drawing/2014/main" id="{00000000-0008-0000-0B00-0000F7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8" name="Text Box 1">
          <a:extLst>
            <a:ext uri="{FF2B5EF4-FFF2-40B4-BE49-F238E27FC236}">
              <a16:creationId xmlns="" xmlns:a16="http://schemas.microsoft.com/office/drawing/2014/main" id="{00000000-0008-0000-0B00-0000F8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49" name="Text Box 1">
          <a:extLst>
            <a:ext uri="{FF2B5EF4-FFF2-40B4-BE49-F238E27FC236}">
              <a16:creationId xmlns="" xmlns:a16="http://schemas.microsoft.com/office/drawing/2014/main" id="{00000000-0008-0000-0B00-0000F9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50" name="Text Box 1">
          <a:extLst>
            <a:ext uri="{FF2B5EF4-FFF2-40B4-BE49-F238E27FC236}">
              <a16:creationId xmlns="" xmlns:a16="http://schemas.microsoft.com/office/drawing/2014/main" id="{00000000-0008-0000-0B00-0000FA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51" name="Text Box 1">
          <a:extLst>
            <a:ext uri="{FF2B5EF4-FFF2-40B4-BE49-F238E27FC236}">
              <a16:creationId xmlns="" xmlns:a16="http://schemas.microsoft.com/office/drawing/2014/main" id="{00000000-0008-0000-0B00-0000FB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52" name="Text Box 1">
          <a:extLst>
            <a:ext uri="{FF2B5EF4-FFF2-40B4-BE49-F238E27FC236}">
              <a16:creationId xmlns="" xmlns:a16="http://schemas.microsoft.com/office/drawing/2014/main" id="{00000000-0008-0000-0B00-0000FC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53" name="Text Box 1">
          <a:extLst>
            <a:ext uri="{FF2B5EF4-FFF2-40B4-BE49-F238E27FC236}">
              <a16:creationId xmlns="" xmlns:a16="http://schemas.microsoft.com/office/drawing/2014/main" id="{00000000-0008-0000-0B00-0000FD00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4" name="Text Box 1">
          <a:extLst>
            <a:ext uri="{FF2B5EF4-FFF2-40B4-BE49-F238E27FC236}">
              <a16:creationId xmlns="" xmlns:a16="http://schemas.microsoft.com/office/drawing/2014/main" id="{00000000-0008-0000-0B00-0000FE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5" name="Text Box 1">
          <a:extLst>
            <a:ext uri="{FF2B5EF4-FFF2-40B4-BE49-F238E27FC236}">
              <a16:creationId xmlns="" xmlns:a16="http://schemas.microsoft.com/office/drawing/2014/main" id="{00000000-0008-0000-0B00-0000FF00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6" name="Text Box 1">
          <a:extLst>
            <a:ext uri="{FF2B5EF4-FFF2-40B4-BE49-F238E27FC236}">
              <a16:creationId xmlns="" xmlns:a16="http://schemas.microsoft.com/office/drawing/2014/main" id="{00000000-0008-0000-0B00-000000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7" name="Text Box 1">
          <a:extLst>
            <a:ext uri="{FF2B5EF4-FFF2-40B4-BE49-F238E27FC236}">
              <a16:creationId xmlns="" xmlns:a16="http://schemas.microsoft.com/office/drawing/2014/main" id="{00000000-0008-0000-0B00-000001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8" name="Text Box 1">
          <a:extLst>
            <a:ext uri="{FF2B5EF4-FFF2-40B4-BE49-F238E27FC236}">
              <a16:creationId xmlns="" xmlns:a16="http://schemas.microsoft.com/office/drawing/2014/main" id="{00000000-0008-0000-0B00-000002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59" name="Text Box 1">
          <a:extLst>
            <a:ext uri="{FF2B5EF4-FFF2-40B4-BE49-F238E27FC236}">
              <a16:creationId xmlns="" xmlns:a16="http://schemas.microsoft.com/office/drawing/2014/main" id="{00000000-0008-0000-0B00-000003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0" name="Text Box 1">
          <a:extLst>
            <a:ext uri="{FF2B5EF4-FFF2-40B4-BE49-F238E27FC236}">
              <a16:creationId xmlns="" xmlns:a16="http://schemas.microsoft.com/office/drawing/2014/main" id="{00000000-0008-0000-0B00-000004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1" name="Text Box 1">
          <a:extLst>
            <a:ext uri="{FF2B5EF4-FFF2-40B4-BE49-F238E27FC236}">
              <a16:creationId xmlns="" xmlns:a16="http://schemas.microsoft.com/office/drawing/2014/main" id="{00000000-0008-0000-0B00-000005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2" name="Text Box 1">
          <a:extLst>
            <a:ext uri="{FF2B5EF4-FFF2-40B4-BE49-F238E27FC236}">
              <a16:creationId xmlns="" xmlns:a16="http://schemas.microsoft.com/office/drawing/2014/main" id="{00000000-0008-0000-0B00-000006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3" name="Text Box 1">
          <a:extLst>
            <a:ext uri="{FF2B5EF4-FFF2-40B4-BE49-F238E27FC236}">
              <a16:creationId xmlns="" xmlns:a16="http://schemas.microsoft.com/office/drawing/2014/main" id="{00000000-0008-0000-0B00-000007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4" name="Text Box 1">
          <a:extLst>
            <a:ext uri="{FF2B5EF4-FFF2-40B4-BE49-F238E27FC236}">
              <a16:creationId xmlns="" xmlns:a16="http://schemas.microsoft.com/office/drawing/2014/main" id="{00000000-0008-0000-0B00-000008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5" name="Text Box 1">
          <a:extLst>
            <a:ext uri="{FF2B5EF4-FFF2-40B4-BE49-F238E27FC236}">
              <a16:creationId xmlns="" xmlns:a16="http://schemas.microsoft.com/office/drawing/2014/main" id="{00000000-0008-0000-0B00-000009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6" name="Text Box 1">
          <a:extLst>
            <a:ext uri="{FF2B5EF4-FFF2-40B4-BE49-F238E27FC236}">
              <a16:creationId xmlns="" xmlns:a16="http://schemas.microsoft.com/office/drawing/2014/main" id="{00000000-0008-0000-0B00-00000A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7" name="Text Box 1">
          <a:extLst>
            <a:ext uri="{FF2B5EF4-FFF2-40B4-BE49-F238E27FC236}">
              <a16:creationId xmlns="" xmlns:a16="http://schemas.microsoft.com/office/drawing/2014/main" id="{00000000-0008-0000-0B00-00000B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8" name="Text Box 1">
          <a:extLst>
            <a:ext uri="{FF2B5EF4-FFF2-40B4-BE49-F238E27FC236}">
              <a16:creationId xmlns="" xmlns:a16="http://schemas.microsoft.com/office/drawing/2014/main" id="{00000000-0008-0000-0B00-00000C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69" name="Text Box 1">
          <a:extLst>
            <a:ext uri="{FF2B5EF4-FFF2-40B4-BE49-F238E27FC236}">
              <a16:creationId xmlns="" xmlns:a16="http://schemas.microsoft.com/office/drawing/2014/main" id="{00000000-0008-0000-0B00-00000D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0" name="Text Box 1">
          <a:extLst>
            <a:ext uri="{FF2B5EF4-FFF2-40B4-BE49-F238E27FC236}">
              <a16:creationId xmlns="" xmlns:a16="http://schemas.microsoft.com/office/drawing/2014/main" id="{00000000-0008-0000-0B00-00000E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1" name="Text Box 1">
          <a:extLst>
            <a:ext uri="{FF2B5EF4-FFF2-40B4-BE49-F238E27FC236}">
              <a16:creationId xmlns="" xmlns:a16="http://schemas.microsoft.com/office/drawing/2014/main" id="{00000000-0008-0000-0B00-00000F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2" name="Text Box 1">
          <a:extLst>
            <a:ext uri="{FF2B5EF4-FFF2-40B4-BE49-F238E27FC236}">
              <a16:creationId xmlns="" xmlns:a16="http://schemas.microsoft.com/office/drawing/2014/main" id="{00000000-0008-0000-0B00-000010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3" name="Text Box 1">
          <a:extLst>
            <a:ext uri="{FF2B5EF4-FFF2-40B4-BE49-F238E27FC236}">
              <a16:creationId xmlns="" xmlns:a16="http://schemas.microsoft.com/office/drawing/2014/main" id="{00000000-0008-0000-0B00-000011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4" name="Text Box 1">
          <a:extLst>
            <a:ext uri="{FF2B5EF4-FFF2-40B4-BE49-F238E27FC236}">
              <a16:creationId xmlns="" xmlns:a16="http://schemas.microsoft.com/office/drawing/2014/main" id="{00000000-0008-0000-0B00-000012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5" name="Text Box 1">
          <a:extLst>
            <a:ext uri="{FF2B5EF4-FFF2-40B4-BE49-F238E27FC236}">
              <a16:creationId xmlns="" xmlns:a16="http://schemas.microsoft.com/office/drawing/2014/main" id="{00000000-0008-0000-0B00-000013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6" name="Text Box 1">
          <a:extLst>
            <a:ext uri="{FF2B5EF4-FFF2-40B4-BE49-F238E27FC236}">
              <a16:creationId xmlns="" xmlns:a16="http://schemas.microsoft.com/office/drawing/2014/main" id="{00000000-0008-0000-0B00-000014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7" name="Text Box 1">
          <a:extLst>
            <a:ext uri="{FF2B5EF4-FFF2-40B4-BE49-F238E27FC236}">
              <a16:creationId xmlns="" xmlns:a16="http://schemas.microsoft.com/office/drawing/2014/main" id="{00000000-0008-0000-0B00-000015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8" name="Text Box 1">
          <a:extLst>
            <a:ext uri="{FF2B5EF4-FFF2-40B4-BE49-F238E27FC236}">
              <a16:creationId xmlns="" xmlns:a16="http://schemas.microsoft.com/office/drawing/2014/main" id="{00000000-0008-0000-0B00-000016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79" name="Text Box 1">
          <a:extLst>
            <a:ext uri="{FF2B5EF4-FFF2-40B4-BE49-F238E27FC236}">
              <a16:creationId xmlns="" xmlns:a16="http://schemas.microsoft.com/office/drawing/2014/main" id="{00000000-0008-0000-0B00-000017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0" name="Text Box 1">
          <a:extLst>
            <a:ext uri="{FF2B5EF4-FFF2-40B4-BE49-F238E27FC236}">
              <a16:creationId xmlns="" xmlns:a16="http://schemas.microsoft.com/office/drawing/2014/main" id="{00000000-0008-0000-0B00-000018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1" name="Text Box 1">
          <a:extLst>
            <a:ext uri="{FF2B5EF4-FFF2-40B4-BE49-F238E27FC236}">
              <a16:creationId xmlns="" xmlns:a16="http://schemas.microsoft.com/office/drawing/2014/main" id="{00000000-0008-0000-0B00-000019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2" name="Text Box 1">
          <a:extLst>
            <a:ext uri="{FF2B5EF4-FFF2-40B4-BE49-F238E27FC236}">
              <a16:creationId xmlns="" xmlns:a16="http://schemas.microsoft.com/office/drawing/2014/main" id="{00000000-0008-0000-0B00-00001A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3" name="Text Box 1">
          <a:extLst>
            <a:ext uri="{FF2B5EF4-FFF2-40B4-BE49-F238E27FC236}">
              <a16:creationId xmlns="" xmlns:a16="http://schemas.microsoft.com/office/drawing/2014/main" id="{00000000-0008-0000-0B00-00001B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4" name="Text Box 1">
          <a:extLst>
            <a:ext uri="{FF2B5EF4-FFF2-40B4-BE49-F238E27FC236}">
              <a16:creationId xmlns="" xmlns:a16="http://schemas.microsoft.com/office/drawing/2014/main" id="{00000000-0008-0000-0B00-00001C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5" name="Text Box 1">
          <a:extLst>
            <a:ext uri="{FF2B5EF4-FFF2-40B4-BE49-F238E27FC236}">
              <a16:creationId xmlns="" xmlns:a16="http://schemas.microsoft.com/office/drawing/2014/main" id="{00000000-0008-0000-0B00-00001D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6" name="Text Box 1">
          <a:extLst>
            <a:ext uri="{FF2B5EF4-FFF2-40B4-BE49-F238E27FC236}">
              <a16:creationId xmlns="" xmlns:a16="http://schemas.microsoft.com/office/drawing/2014/main" id="{00000000-0008-0000-0B00-00001E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7" name="Text Box 1">
          <a:extLst>
            <a:ext uri="{FF2B5EF4-FFF2-40B4-BE49-F238E27FC236}">
              <a16:creationId xmlns="" xmlns:a16="http://schemas.microsoft.com/office/drawing/2014/main" id="{00000000-0008-0000-0B00-00001F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8" name="Text Box 1">
          <a:extLst>
            <a:ext uri="{FF2B5EF4-FFF2-40B4-BE49-F238E27FC236}">
              <a16:creationId xmlns="" xmlns:a16="http://schemas.microsoft.com/office/drawing/2014/main" id="{00000000-0008-0000-0B00-000020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89" name="Text Box 1">
          <a:extLst>
            <a:ext uri="{FF2B5EF4-FFF2-40B4-BE49-F238E27FC236}">
              <a16:creationId xmlns="" xmlns:a16="http://schemas.microsoft.com/office/drawing/2014/main" id="{00000000-0008-0000-0B00-000021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90" name="Text Box 1">
          <a:extLst>
            <a:ext uri="{FF2B5EF4-FFF2-40B4-BE49-F238E27FC236}">
              <a16:creationId xmlns="" xmlns:a16="http://schemas.microsoft.com/office/drawing/2014/main" id="{00000000-0008-0000-0B00-000022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91" name="Text Box 1">
          <a:extLst>
            <a:ext uri="{FF2B5EF4-FFF2-40B4-BE49-F238E27FC236}">
              <a16:creationId xmlns="" xmlns:a16="http://schemas.microsoft.com/office/drawing/2014/main" id="{00000000-0008-0000-0B00-000023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92" name="Text Box 1">
          <a:extLst>
            <a:ext uri="{FF2B5EF4-FFF2-40B4-BE49-F238E27FC236}">
              <a16:creationId xmlns="" xmlns:a16="http://schemas.microsoft.com/office/drawing/2014/main" id="{00000000-0008-0000-0B00-000024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293" name="Text Box 1">
          <a:extLst>
            <a:ext uri="{FF2B5EF4-FFF2-40B4-BE49-F238E27FC236}">
              <a16:creationId xmlns="" xmlns:a16="http://schemas.microsoft.com/office/drawing/2014/main" id="{00000000-0008-0000-0B00-000025010000}"/>
            </a:ext>
          </a:extLst>
        </xdr:cNvPr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4" name="Text Box 1">
          <a:extLst>
            <a:ext uri="{FF2B5EF4-FFF2-40B4-BE49-F238E27FC236}">
              <a16:creationId xmlns="" xmlns:a16="http://schemas.microsoft.com/office/drawing/2014/main" id="{00000000-0008-0000-0B00-000026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5" name="Text Box 1">
          <a:extLst>
            <a:ext uri="{FF2B5EF4-FFF2-40B4-BE49-F238E27FC236}">
              <a16:creationId xmlns="" xmlns:a16="http://schemas.microsoft.com/office/drawing/2014/main" id="{00000000-0008-0000-0B00-000027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6" name="Text Box 1">
          <a:extLst>
            <a:ext uri="{FF2B5EF4-FFF2-40B4-BE49-F238E27FC236}">
              <a16:creationId xmlns="" xmlns:a16="http://schemas.microsoft.com/office/drawing/2014/main" id="{00000000-0008-0000-0B00-000028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7" name="Text Box 1">
          <a:extLst>
            <a:ext uri="{FF2B5EF4-FFF2-40B4-BE49-F238E27FC236}">
              <a16:creationId xmlns="" xmlns:a16="http://schemas.microsoft.com/office/drawing/2014/main" id="{00000000-0008-0000-0B00-000029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8" name="Text Box 1">
          <a:extLst>
            <a:ext uri="{FF2B5EF4-FFF2-40B4-BE49-F238E27FC236}">
              <a16:creationId xmlns="" xmlns:a16="http://schemas.microsoft.com/office/drawing/2014/main" id="{00000000-0008-0000-0B00-00002A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299" name="Text Box 1">
          <a:extLst>
            <a:ext uri="{FF2B5EF4-FFF2-40B4-BE49-F238E27FC236}">
              <a16:creationId xmlns="" xmlns:a16="http://schemas.microsoft.com/office/drawing/2014/main" id="{00000000-0008-0000-0B00-00002B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300" name="Text Box 1">
          <a:extLst>
            <a:ext uri="{FF2B5EF4-FFF2-40B4-BE49-F238E27FC236}">
              <a16:creationId xmlns="" xmlns:a16="http://schemas.microsoft.com/office/drawing/2014/main" id="{00000000-0008-0000-0B00-00002C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301" name="Text Box 1">
          <a:extLst>
            <a:ext uri="{FF2B5EF4-FFF2-40B4-BE49-F238E27FC236}">
              <a16:creationId xmlns="" xmlns:a16="http://schemas.microsoft.com/office/drawing/2014/main" id="{00000000-0008-0000-0B00-00002D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302" name="Text Box 1">
          <a:extLst>
            <a:ext uri="{FF2B5EF4-FFF2-40B4-BE49-F238E27FC236}">
              <a16:creationId xmlns="" xmlns:a16="http://schemas.microsoft.com/office/drawing/2014/main" id="{00000000-0008-0000-0B00-00002E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104775</xdr:colOff>
      <xdr:row>106</xdr:row>
      <xdr:rowOff>161304</xdr:rowOff>
    </xdr:to>
    <xdr:sp macro="" textlink="">
      <xdr:nvSpPr>
        <xdr:cNvPr id="303" name="Text Box 1">
          <a:extLst>
            <a:ext uri="{FF2B5EF4-FFF2-40B4-BE49-F238E27FC236}">
              <a16:creationId xmlns="" xmlns:a16="http://schemas.microsoft.com/office/drawing/2014/main" id="{00000000-0008-0000-0B00-00002F010000}"/>
            </a:ext>
          </a:extLst>
        </xdr:cNvPr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4" name="Text Box 1">
          <a:extLst>
            <a:ext uri="{FF2B5EF4-FFF2-40B4-BE49-F238E27FC236}">
              <a16:creationId xmlns="" xmlns:a16="http://schemas.microsoft.com/office/drawing/2014/main" id="{00000000-0008-0000-0B00-000030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5" name="Text Box 1">
          <a:extLst>
            <a:ext uri="{FF2B5EF4-FFF2-40B4-BE49-F238E27FC236}">
              <a16:creationId xmlns="" xmlns:a16="http://schemas.microsoft.com/office/drawing/2014/main" id="{00000000-0008-0000-0B00-000031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6" name="Text Box 1">
          <a:extLst>
            <a:ext uri="{FF2B5EF4-FFF2-40B4-BE49-F238E27FC236}">
              <a16:creationId xmlns="" xmlns:a16="http://schemas.microsoft.com/office/drawing/2014/main" id="{00000000-0008-0000-0B00-000032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7" name="Text Box 1">
          <a:extLst>
            <a:ext uri="{FF2B5EF4-FFF2-40B4-BE49-F238E27FC236}">
              <a16:creationId xmlns="" xmlns:a16="http://schemas.microsoft.com/office/drawing/2014/main" id="{00000000-0008-0000-0B00-000033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8" name="Text Box 1">
          <a:extLst>
            <a:ext uri="{FF2B5EF4-FFF2-40B4-BE49-F238E27FC236}">
              <a16:creationId xmlns="" xmlns:a16="http://schemas.microsoft.com/office/drawing/2014/main" id="{00000000-0008-0000-0B00-000034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09" name="Text Box 1">
          <a:extLst>
            <a:ext uri="{FF2B5EF4-FFF2-40B4-BE49-F238E27FC236}">
              <a16:creationId xmlns="" xmlns:a16="http://schemas.microsoft.com/office/drawing/2014/main" id="{00000000-0008-0000-0B00-000035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0" name="Text Box 1">
          <a:extLst>
            <a:ext uri="{FF2B5EF4-FFF2-40B4-BE49-F238E27FC236}">
              <a16:creationId xmlns="" xmlns:a16="http://schemas.microsoft.com/office/drawing/2014/main" id="{00000000-0008-0000-0B00-000036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1" name="Text Box 1">
          <a:extLst>
            <a:ext uri="{FF2B5EF4-FFF2-40B4-BE49-F238E27FC236}">
              <a16:creationId xmlns="" xmlns:a16="http://schemas.microsoft.com/office/drawing/2014/main" id="{00000000-0008-0000-0B00-000037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2" name="Text Box 1">
          <a:extLst>
            <a:ext uri="{FF2B5EF4-FFF2-40B4-BE49-F238E27FC236}">
              <a16:creationId xmlns="" xmlns:a16="http://schemas.microsoft.com/office/drawing/2014/main" id="{00000000-0008-0000-0B00-000038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3" name="Text Box 1">
          <a:extLst>
            <a:ext uri="{FF2B5EF4-FFF2-40B4-BE49-F238E27FC236}">
              <a16:creationId xmlns="" xmlns:a16="http://schemas.microsoft.com/office/drawing/2014/main" id="{00000000-0008-0000-0B00-000039010000}"/>
            </a:ext>
          </a:extLst>
        </xdr:cNvPr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4" name="Text Box 1">
          <a:extLst>
            <a:ext uri="{FF2B5EF4-FFF2-40B4-BE49-F238E27FC236}">
              <a16:creationId xmlns="" xmlns:a16="http://schemas.microsoft.com/office/drawing/2014/main" id="{00000000-0008-0000-0B00-00003A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5" name="Text Box 1">
          <a:extLst>
            <a:ext uri="{FF2B5EF4-FFF2-40B4-BE49-F238E27FC236}">
              <a16:creationId xmlns="" xmlns:a16="http://schemas.microsoft.com/office/drawing/2014/main" id="{00000000-0008-0000-0B00-00003B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6" name="Text Box 1">
          <a:extLst>
            <a:ext uri="{FF2B5EF4-FFF2-40B4-BE49-F238E27FC236}">
              <a16:creationId xmlns="" xmlns:a16="http://schemas.microsoft.com/office/drawing/2014/main" id="{00000000-0008-0000-0B00-00003C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7" name="Text Box 1">
          <a:extLst>
            <a:ext uri="{FF2B5EF4-FFF2-40B4-BE49-F238E27FC236}">
              <a16:creationId xmlns="" xmlns:a16="http://schemas.microsoft.com/office/drawing/2014/main" id="{00000000-0008-0000-0B00-00003D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8" name="Text Box 1">
          <a:extLst>
            <a:ext uri="{FF2B5EF4-FFF2-40B4-BE49-F238E27FC236}">
              <a16:creationId xmlns="" xmlns:a16="http://schemas.microsoft.com/office/drawing/2014/main" id="{00000000-0008-0000-0B00-00003E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19" name="Text Box 1">
          <a:extLst>
            <a:ext uri="{FF2B5EF4-FFF2-40B4-BE49-F238E27FC236}">
              <a16:creationId xmlns="" xmlns:a16="http://schemas.microsoft.com/office/drawing/2014/main" id="{00000000-0008-0000-0B00-00003F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0" name="Text Box 1">
          <a:extLst>
            <a:ext uri="{FF2B5EF4-FFF2-40B4-BE49-F238E27FC236}">
              <a16:creationId xmlns="" xmlns:a16="http://schemas.microsoft.com/office/drawing/2014/main" id="{00000000-0008-0000-0B00-000040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1" name="Text Box 1">
          <a:extLst>
            <a:ext uri="{FF2B5EF4-FFF2-40B4-BE49-F238E27FC236}">
              <a16:creationId xmlns="" xmlns:a16="http://schemas.microsoft.com/office/drawing/2014/main" id="{00000000-0008-0000-0B00-000041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2" name="Text Box 1">
          <a:extLst>
            <a:ext uri="{FF2B5EF4-FFF2-40B4-BE49-F238E27FC236}">
              <a16:creationId xmlns="" xmlns:a16="http://schemas.microsoft.com/office/drawing/2014/main" id="{00000000-0008-0000-0B00-000042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3" name="Text Box 1">
          <a:extLst>
            <a:ext uri="{FF2B5EF4-FFF2-40B4-BE49-F238E27FC236}">
              <a16:creationId xmlns="" xmlns:a16="http://schemas.microsoft.com/office/drawing/2014/main" id="{00000000-0008-0000-0B00-000043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4" name="Text Box 1">
          <a:extLst>
            <a:ext uri="{FF2B5EF4-FFF2-40B4-BE49-F238E27FC236}">
              <a16:creationId xmlns="" xmlns:a16="http://schemas.microsoft.com/office/drawing/2014/main" id="{00000000-0008-0000-0B00-000044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5" name="Text Box 1">
          <a:extLst>
            <a:ext uri="{FF2B5EF4-FFF2-40B4-BE49-F238E27FC236}">
              <a16:creationId xmlns="" xmlns:a16="http://schemas.microsoft.com/office/drawing/2014/main" id="{00000000-0008-0000-0B00-000045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6" name="Text Box 1">
          <a:extLst>
            <a:ext uri="{FF2B5EF4-FFF2-40B4-BE49-F238E27FC236}">
              <a16:creationId xmlns="" xmlns:a16="http://schemas.microsoft.com/office/drawing/2014/main" id="{00000000-0008-0000-0B00-000046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7" name="Text Box 1">
          <a:extLst>
            <a:ext uri="{FF2B5EF4-FFF2-40B4-BE49-F238E27FC236}">
              <a16:creationId xmlns="" xmlns:a16="http://schemas.microsoft.com/office/drawing/2014/main" id="{00000000-0008-0000-0B00-000047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8" name="Text Box 1">
          <a:extLst>
            <a:ext uri="{FF2B5EF4-FFF2-40B4-BE49-F238E27FC236}">
              <a16:creationId xmlns="" xmlns:a16="http://schemas.microsoft.com/office/drawing/2014/main" id="{00000000-0008-0000-0B00-000048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29" name="Text Box 1">
          <a:extLst>
            <a:ext uri="{FF2B5EF4-FFF2-40B4-BE49-F238E27FC236}">
              <a16:creationId xmlns="" xmlns:a16="http://schemas.microsoft.com/office/drawing/2014/main" id="{00000000-0008-0000-0B00-000049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30" name="Text Box 1">
          <a:extLst>
            <a:ext uri="{FF2B5EF4-FFF2-40B4-BE49-F238E27FC236}">
              <a16:creationId xmlns="" xmlns:a16="http://schemas.microsoft.com/office/drawing/2014/main" id="{00000000-0008-0000-0B00-00004A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31" name="Text Box 1">
          <a:extLst>
            <a:ext uri="{FF2B5EF4-FFF2-40B4-BE49-F238E27FC236}">
              <a16:creationId xmlns="" xmlns:a16="http://schemas.microsoft.com/office/drawing/2014/main" id="{00000000-0008-0000-0B00-00004B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32" name="Text Box 1">
          <a:extLst>
            <a:ext uri="{FF2B5EF4-FFF2-40B4-BE49-F238E27FC236}">
              <a16:creationId xmlns="" xmlns:a16="http://schemas.microsoft.com/office/drawing/2014/main" id="{00000000-0008-0000-0B00-00004C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333" name="Text Box 1">
          <a:extLst>
            <a:ext uri="{FF2B5EF4-FFF2-40B4-BE49-F238E27FC236}">
              <a16:creationId xmlns="" xmlns:a16="http://schemas.microsoft.com/office/drawing/2014/main" id="{00000000-0008-0000-0B00-00004D010000}"/>
            </a:ext>
          </a:extLst>
        </xdr:cNvPr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2" name="Text Box 1">
          <a:extLst>
            <a:ext uri="{FF2B5EF4-FFF2-40B4-BE49-F238E27FC236}">
              <a16:creationId xmlns="" xmlns:a16="http://schemas.microsoft.com/office/drawing/2014/main" id="{00000000-0008-0000-0B00-0000A6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3" name="Text Box 1">
          <a:extLst>
            <a:ext uri="{FF2B5EF4-FFF2-40B4-BE49-F238E27FC236}">
              <a16:creationId xmlns="" xmlns:a16="http://schemas.microsoft.com/office/drawing/2014/main" id="{00000000-0008-0000-0B00-0000A7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4" name="Text Box 1">
          <a:extLst>
            <a:ext uri="{FF2B5EF4-FFF2-40B4-BE49-F238E27FC236}">
              <a16:creationId xmlns="" xmlns:a16="http://schemas.microsoft.com/office/drawing/2014/main" id="{00000000-0008-0000-0B00-0000A8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5" name="Text Box 1">
          <a:extLst>
            <a:ext uri="{FF2B5EF4-FFF2-40B4-BE49-F238E27FC236}">
              <a16:creationId xmlns="" xmlns:a16="http://schemas.microsoft.com/office/drawing/2014/main" id="{00000000-0008-0000-0B00-0000A9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6" name="Text Box 1">
          <a:extLst>
            <a:ext uri="{FF2B5EF4-FFF2-40B4-BE49-F238E27FC236}">
              <a16:creationId xmlns="" xmlns:a16="http://schemas.microsoft.com/office/drawing/2014/main" id="{00000000-0008-0000-0B00-0000AA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7" name="Text Box 1">
          <a:extLst>
            <a:ext uri="{FF2B5EF4-FFF2-40B4-BE49-F238E27FC236}">
              <a16:creationId xmlns="" xmlns:a16="http://schemas.microsoft.com/office/drawing/2014/main" id="{00000000-0008-0000-0B00-0000AB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8" name="Text Box 1">
          <a:extLst>
            <a:ext uri="{FF2B5EF4-FFF2-40B4-BE49-F238E27FC236}">
              <a16:creationId xmlns="" xmlns:a16="http://schemas.microsoft.com/office/drawing/2014/main" id="{00000000-0008-0000-0B00-0000AC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29" name="Text Box 1">
          <a:extLst>
            <a:ext uri="{FF2B5EF4-FFF2-40B4-BE49-F238E27FC236}">
              <a16:creationId xmlns="" xmlns:a16="http://schemas.microsoft.com/office/drawing/2014/main" id="{00000000-0008-0000-0B00-0000AD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30" name="Text Box 1">
          <a:extLst>
            <a:ext uri="{FF2B5EF4-FFF2-40B4-BE49-F238E27FC236}">
              <a16:creationId xmlns="" xmlns:a16="http://schemas.microsoft.com/office/drawing/2014/main" id="{00000000-0008-0000-0B00-0000AE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3419"/>
    <xdr:sp macro="" textlink="">
      <xdr:nvSpPr>
        <xdr:cNvPr id="431" name="Text Box 1">
          <a:extLst>
            <a:ext uri="{FF2B5EF4-FFF2-40B4-BE49-F238E27FC236}">
              <a16:creationId xmlns="" xmlns:a16="http://schemas.microsoft.com/office/drawing/2014/main" id="{00000000-0008-0000-0B00-0000AF010000}"/>
            </a:ext>
          </a:extLst>
        </xdr:cNvPr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2" name="Text Box 1">
          <a:extLst>
            <a:ext uri="{FF2B5EF4-FFF2-40B4-BE49-F238E27FC236}">
              <a16:creationId xmlns="" xmlns:a16="http://schemas.microsoft.com/office/drawing/2014/main" id="{00000000-0008-0000-0B00-0000B0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3" name="Text Box 1">
          <a:extLst>
            <a:ext uri="{FF2B5EF4-FFF2-40B4-BE49-F238E27FC236}">
              <a16:creationId xmlns="" xmlns:a16="http://schemas.microsoft.com/office/drawing/2014/main" id="{00000000-0008-0000-0B00-0000B1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4" name="Text Box 1">
          <a:extLst>
            <a:ext uri="{FF2B5EF4-FFF2-40B4-BE49-F238E27FC236}">
              <a16:creationId xmlns="" xmlns:a16="http://schemas.microsoft.com/office/drawing/2014/main" id="{00000000-0008-0000-0B00-0000B2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5" name="Text Box 1">
          <a:extLst>
            <a:ext uri="{FF2B5EF4-FFF2-40B4-BE49-F238E27FC236}">
              <a16:creationId xmlns="" xmlns:a16="http://schemas.microsoft.com/office/drawing/2014/main" id="{00000000-0008-0000-0B00-0000B3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6" name="Text Box 1">
          <a:extLst>
            <a:ext uri="{FF2B5EF4-FFF2-40B4-BE49-F238E27FC236}">
              <a16:creationId xmlns="" xmlns:a16="http://schemas.microsoft.com/office/drawing/2014/main" id="{00000000-0008-0000-0B00-0000B4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7" name="Text Box 1">
          <a:extLst>
            <a:ext uri="{FF2B5EF4-FFF2-40B4-BE49-F238E27FC236}">
              <a16:creationId xmlns="" xmlns:a16="http://schemas.microsoft.com/office/drawing/2014/main" id="{00000000-0008-0000-0B00-0000B5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8" name="Text Box 1">
          <a:extLst>
            <a:ext uri="{FF2B5EF4-FFF2-40B4-BE49-F238E27FC236}">
              <a16:creationId xmlns="" xmlns:a16="http://schemas.microsoft.com/office/drawing/2014/main" id="{00000000-0008-0000-0B00-0000B6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39" name="Text Box 1">
          <a:extLst>
            <a:ext uri="{FF2B5EF4-FFF2-40B4-BE49-F238E27FC236}">
              <a16:creationId xmlns="" xmlns:a16="http://schemas.microsoft.com/office/drawing/2014/main" id="{00000000-0008-0000-0B00-0000B7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40" name="Text Box 1">
          <a:extLst>
            <a:ext uri="{FF2B5EF4-FFF2-40B4-BE49-F238E27FC236}">
              <a16:creationId xmlns="" xmlns:a16="http://schemas.microsoft.com/office/drawing/2014/main" id="{00000000-0008-0000-0B00-0000B8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441" name="Text Box 1">
          <a:extLst>
            <a:ext uri="{FF2B5EF4-FFF2-40B4-BE49-F238E27FC236}">
              <a16:creationId xmlns="" xmlns:a16="http://schemas.microsoft.com/office/drawing/2014/main" id="{00000000-0008-0000-0B00-0000B9010000}"/>
            </a:ext>
          </a:extLst>
        </xdr:cNvPr>
        <xdr:cNvSpPr txBox="1">
          <a:spLocks noChangeArrowheads="1"/>
        </xdr:cNvSpPr>
      </xdr:nvSpPr>
      <xdr:spPr bwMode="auto">
        <a:xfrm>
          <a:off x="0" y="51265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85725" cy="510"/>
    <xdr:sp macro="" textlink="">
      <xdr:nvSpPr>
        <xdr:cNvPr id="442" name="Text Box 9">
          <a:extLst>
            <a:ext uri="{FF2B5EF4-FFF2-40B4-BE49-F238E27FC236}">
              <a16:creationId xmlns="" xmlns:a16="http://schemas.microsoft.com/office/drawing/2014/main" id="{00000000-0008-0000-0B00-0000BA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85725" cy="510"/>
    <xdr:sp macro="" textlink="">
      <xdr:nvSpPr>
        <xdr:cNvPr id="443" name="Text Box 9">
          <a:extLst>
            <a:ext uri="{FF2B5EF4-FFF2-40B4-BE49-F238E27FC236}">
              <a16:creationId xmlns="" xmlns:a16="http://schemas.microsoft.com/office/drawing/2014/main" id="{00000000-0008-0000-0B00-0000BB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4" name="Text Box 1">
          <a:extLst>
            <a:ext uri="{FF2B5EF4-FFF2-40B4-BE49-F238E27FC236}">
              <a16:creationId xmlns="" xmlns:a16="http://schemas.microsoft.com/office/drawing/2014/main" id="{00000000-0008-0000-0B00-0000BC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5" name="Text Box 1">
          <a:extLst>
            <a:ext uri="{FF2B5EF4-FFF2-40B4-BE49-F238E27FC236}">
              <a16:creationId xmlns="" xmlns:a16="http://schemas.microsoft.com/office/drawing/2014/main" id="{00000000-0008-0000-0B00-0000BD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6" name="Text Box 1">
          <a:extLst>
            <a:ext uri="{FF2B5EF4-FFF2-40B4-BE49-F238E27FC236}">
              <a16:creationId xmlns="" xmlns:a16="http://schemas.microsoft.com/office/drawing/2014/main" id="{00000000-0008-0000-0B00-0000BE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7" name="Text Box 1">
          <a:extLst>
            <a:ext uri="{FF2B5EF4-FFF2-40B4-BE49-F238E27FC236}">
              <a16:creationId xmlns="" xmlns:a16="http://schemas.microsoft.com/office/drawing/2014/main" id="{00000000-0008-0000-0B00-0000BF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8" name="Text Box 1">
          <a:extLst>
            <a:ext uri="{FF2B5EF4-FFF2-40B4-BE49-F238E27FC236}">
              <a16:creationId xmlns="" xmlns:a16="http://schemas.microsoft.com/office/drawing/2014/main" id="{00000000-0008-0000-0B00-0000C0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49" name="Text Box 1">
          <a:extLst>
            <a:ext uri="{FF2B5EF4-FFF2-40B4-BE49-F238E27FC236}">
              <a16:creationId xmlns="" xmlns:a16="http://schemas.microsoft.com/office/drawing/2014/main" id="{00000000-0008-0000-0B00-0000C1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0" name="Text Box 1">
          <a:extLst>
            <a:ext uri="{FF2B5EF4-FFF2-40B4-BE49-F238E27FC236}">
              <a16:creationId xmlns="" xmlns:a16="http://schemas.microsoft.com/office/drawing/2014/main" id="{00000000-0008-0000-0B00-0000C2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1" name="Text Box 1">
          <a:extLst>
            <a:ext uri="{FF2B5EF4-FFF2-40B4-BE49-F238E27FC236}">
              <a16:creationId xmlns="" xmlns:a16="http://schemas.microsoft.com/office/drawing/2014/main" id="{00000000-0008-0000-0B00-0000C3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2" name="Text Box 1">
          <a:extLst>
            <a:ext uri="{FF2B5EF4-FFF2-40B4-BE49-F238E27FC236}">
              <a16:creationId xmlns="" xmlns:a16="http://schemas.microsoft.com/office/drawing/2014/main" id="{00000000-0008-0000-0B00-0000C4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3" name="Text Box 1">
          <a:extLst>
            <a:ext uri="{FF2B5EF4-FFF2-40B4-BE49-F238E27FC236}">
              <a16:creationId xmlns="" xmlns:a16="http://schemas.microsoft.com/office/drawing/2014/main" id="{00000000-0008-0000-0B00-0000C5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4" name="Text Box 1">
          <a:extLst>
            <a:ext uri="{FF2B5EF4-FFF2-40B4-BE49-F238E27FC236}">
              <a16:creationId xmlns="" xmlns:a16="http://schemas.microsoft.com/office/drawing/2014/main" id="{00000000-0008-0000-0B00-0000C6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5" name="Text Box 1">
          <a:extLst>
            <a:ext uri="{FF2B5EF4-FFF2-40B4-BE49-F238E27FC236}">
              <a16:creationId xmlns="" xmlns:a16="http://schemas.microsoft.com/office/drawing/2014/main" id="{00000000-0008-0000-0B00-0000C7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6" name="Text Box 1">
          <a:extLst>
            <a:ext uri="{FF2B5EF4-FFF2-40B4-BE49-F238E27FC236}">
              <a16:creationId xmlns="" xmlns:a16="http://schemas.microsoft.com/office/drawing/2014/main" id="{00000000-0008-0000-0B00-0000C8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7" name="Text Box 1">
          <a:extLst>
            <a:ext uri="{FF2B5EF4-FFF2-40B4-BE49-F238E27FC236}">
              <a16:creationId xmlns="" xmlns:a16="http://schemas.microsoft.com/office/drawing/2014/main" id="{00000000-0008-0000-0B00-0000C9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8" name="Text Box 1">
          <a:extLst>
            <a:ext uri="{FF2B5EF4-FFF2-40B4-BE49-F238E27FC236}">
              <a16:creationId xmlns="" xmlns:a16="http://schemas.microsoft.com/office/drawing/2014/main" id="{00000000-0008-0000-0B00-0000CA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59" name="Text Box 1">
          <a:extLst>
            <a:ext uri="{FF2B5EF4-FFF2-40B4-BE49-F238E27FC236}">
              <a16:creationId xmlns="" xmlns:a16="http://schemas.microsoft.com/office/drawing/2014/main" id="{00000000-0008-0000-0B00-0000CB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0" name="Text Box 1">
          <a:extLst>
            <a:ext uri="{FF2B5EF4-FFF2-40B4-BE49-F238E27FC236}">
              <a16:creationId xmlns="" xmlns:a16="http://schemas.microsoft.com/office/drawing/2014/main" id="{00000000-0008-0000-0B00-0000CC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1" name="Text Box 1">
          <a:extLst>
            <a:ext uri="{FF2B5EF4-FFF2-40B4-BE49-F238E27FC236}">
              <a16:creationId xmlns="" xmlns:a16="http://schemas.microsoft.com/office/drawing/2014/main" id="{00000000-0008-0000-0B00-0000CD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2" name="Text Box 1">
          <a:extLst>
            <a:ext uri="{FF2B5EF4-FFF2-40B4-BE49-F238E27FC236}">
              <a16:creationId xmlns="" xmlns:a16="http://schemas.microsoft.com/office/drawing/2014/main" id="{00000000-0008-0000-0B00-0000CE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3" name="Text Box 1">
          <a:extLst>
            <a:ext uri="{FF2B5EF4-FFF2-40B4-BE49-F238E27FC236}">
              <a16:creationId xmlns="" xmlns:a16="http://schemas.microsoft.com/office/drawing/2014/main" id="{00000000-0008-0000-0B00-0000CF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4" name="Text Box 1">
          <a:extLst>
            <a:ext uri="{FF2B5EF4-FFF2-40B4-BE49-F238E27FC236}">
              <a16:creationId xmlns="" xmlns:a16="http://schemas.microsoft.com/office/drawing/2014/main" id="{00000000-0008-0000-0B00-0000D0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65" name="Text Box 1">
          <a:extLst>
            <a:ext uri="{FF2B5EF4-FFF2-40B4-BE49-F238E27FC236}">
              <a16:creationId xmlns="" xmlns:a16="http://schemas.microsoft.com/office/drawing/2014/main" id="{00000000-0008-0000-0B00-0000D1010000}"/>
            </a:ext>
          </a:extLst>
        </xdr:cNvPr>
        <xdr:cNvSpPr txBox="1">
          <a:spLocks noChangeArrowheads="1"/>
        </xdr:cNvSpPr>
      </xdr:nvSpPr>
      <xdr:spPr bwMode="auto">
        <a:xfrm>
          <a:off x="0" y="49741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3" name="Text Box 1">
          <a:extLst>
            <a:ext uri="{FF2B5EF4-FFF2-40B4-BE49-F238E27FC236}">
              <a16:creationId xmlns="" xmlns:a16="http://schemas.microsoft.com/office/drawing/2014/main" id="{00000000-0008-0000-0B00-00007F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4" name="Text Box 1">
          <a:extLst>
            <a:ext uri="{FF2B5EF4-FFF2-40B4-BE49-F238E27FC236}">
              <a16:creationId xmlns="" xmlns:a16="http://schemas.microsoft.com/office/drawing/2014/main" id="{00000000-0008-0000-0B00-000080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5" name="Text Box 1">
          <a:extLst>
            <a:ext uri="{FF2B5EF4-FFF2-40B4-BE49-F238E27FC236}">
              <a16:creationId xmlns="" xmlns:a16="http://schemas.microsoft.com/office/drawing/2014/main" id="{00000000-0008-0000-0B00-000081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6" name="Text Box 1">
          <a:extLst>
            <a:ext uri="{FF2B5EF4-FFF2-40B4-BE49-F238E27FC236}">
              <a16:creationId xmlns="" xmlns:a16="http://schemas.microsoft.com/office/drawing/2014/main" id="{00000000-0008-0000-0B00-000082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7" name="Text Box 1">
          <a:extLst>
            <a:ext uri="{FF2B5EF4-FFF2-40B4-BE49-F238E27FC236}">
              <a16:creationId xmlns="" xmlns:a16="http://schemas.microsoft.com/office/drawing/2014/main" id="{00000000-0008-0000-0B00-000083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8" name="Text Box 1">
          <a:extLst>
            <a:ext uri="{FF2B5EF4-FFF2-40B4-BE49-F238E27FC236}">
              <a16:creationId xmlns="" xmlns:a16="http://schemas.microsoft.com/office/drawing/2014/main" id="{00000000-0008-0000-0B00-000084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89" name="Text Box 1">
          <a:extLst>
            <a:ext uri="{FF2B5EF4-FFF2-40B4-BE49-F238E27FC236}">
              <a16:creationId xmlns="" xmlns:a16="http://schemas.microsoft.com/office/drawing/2014/main" id="{00000000-0008-0000-0B00-000085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90" name="Text Box 1">
          <a:extLst>
            <a:ext uri="{FF2B5EF4-FFF2-40B4-BE49-F238E27FC236}">
              <a16:creationId xmlns="" xmlns:a16="http://schemas.microsoft.com/office/drawing/2014/main" id="{00000000-0008-0000-0B00-000086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91" name="Text Box 1">
          <a:extLst>
            <a:ext uri="{FF2B5EF4-FFF2-40B4-BE49-F238E27FC236}">
              <a16:creationId xmlns="" xmlns:a16="http://schemas.microsoft.com/office/drawing/2014/main" id="{00000000-0008-0000-0B00-000087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62891"/>
    <xdr:sp macro="" textlink="">
      <xdr:nvSpPr>
        <xdr:cNvPr id="392" name="Text Box 1">
          <a:extLst>
            <a:ext uri="{FF2B5EF4-FFF2-40B4-BE49-F238E27FC236}">
              <a16:creationId xmlns="" xmlns:a16="http://schemas.microsoft.com/office/drawing/2014/main" id="{00000000-0008-0000-0B00-000088010000}"/>
            </a:ext>
          </a:extLst>
        </xdr:cNvPr>
        <xdr:cNvSpPr txBox="1">
          <a:spLocks noChangeArrowheads="1"/>
        </xdr:cNvSpPr>
      </xdr:nvSpPr>
      <xdr:spPr bwMode="auto">
        <a:xfrm>
          <a:off x="0" y="5317067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85725" cy="510"/>
    <xdr:sp macro="" textlink="">
      <xdr:nvSpPr>
        <xdr:cNvPr id="393" name="Text Box 9">
          <a:extLst>
            <a:ext uri="{FF2B5EF4-FFF2-40B4-BE49-F238E27FC236}">
              <a16:creationId xmlns="" xmlns:a16="http://schemas.microsoft.com/office/drawing/2014/main" id="{00000000-0008-0000-0B00-000089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85725" cy="510"/>
    <xdr:sp macro="" textlink="">
      <xdr:nvSpPr>
        <xdr:cNvPr id="394" name="Text Box 9">
          <a:extLst>
            <a:ext uri="{FF2B5EF4-FFF2-40B4-BE49-F238E27FC236}">
              <a16:creationId xmlns="" xmlns:a16="http://schemas.microsoft.com/office/drawing/2014/main" id="{00000000-0008-0000-0B00-00008A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395" name="Text Box 1">
          <a:extLst>
            <a:ext uri="{FF2B5EF4-FFF2-40B4-BE49-F238E27FC236}">
              <a16:creationId xmlns="" xmlns:a16="http://schemas.microsoft.com/office/drawing/2014/main" id="{00000000-0008-0000-0B00-00008B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396" name="Text Box 1">
          <a:extLst>
            <a:ext uri="{FF2B5EF4-FFF2-40B4-BE49-F238E27FC236}">
              <a16:creationId xmlns="" xmlns:a16="http://schemas.microsoft.com/office/drawing/2014/main" id="{00000000-0008-0000-0B00-00008C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397" name="Text Box 1">
          <a:extLst>
            <a:ext uri="{FF2B5EF4-FFF2-40B4-BE49-F238E27FC236}">
              <a16:creationId xmlns="" xmlns:a16="http://schemas.microsoft.com/office/drawing/2014/main" id="{00000000-0008-0000-0B00-00008D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398" name="Text Box 1">
          <a:extLst>
            <a:ext uri="{FF2B5EF4-FFF2-40B4-BE49-F238E27FC236}">
              <a16:creationId xmlns="" xmlns:a16="http://schemas.microsoft.com/office/drawing/2014/main" id="{00000000-0008-0000-0B00-00008E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399" name="Text Box 1">
          <a:extLst>
            <a:ext uri="{FF2B5EF4-FFF2-40B4-BE49-F238E27FC236}">
              <a16:creationId xmlns="" xmlns:a16="http://schemas.microsoft.com/office/drawing/2014/main" id="{00000000-0008-0000-0B00-00008F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0" name="Text Box 1">
          <a:extLst>
            <a:ext uri="{FF2B5EF4-FFF2-40B4-BE49-F238E27FC236}">
              <a16:creationId xmlns="" xmlns:a16="http://schemas.microsoft.com/office/drawing/2014/main" id="{00000000-0008-0000-0B00-000090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1" name="Text Box 1">
          <a:extLst>
            <a:ext uri="{FF2B5EF4-FFF2-40B4-BE49-F238E27FC236}">
              <a16:creationId xmlns="" xmlns:a16="http://schemas.microsoft.com/office/drawing/2014/main" id="{00000000-0008-0000-0B00-000091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2" name="Text Box 1">
          <a:extLst>
            <a:ext uri="{FF2B5EF4-FFF2-40B4-BE49-F238E27FC236}">
              <a16:creationId xmlns="" xmlns:a16="http://schemas.microsoft.com/office/drawing/2014/main" id="{00000000-0008-0000-0B00-000092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3" name="Text Box 1">
          <a:extLst>
            <a:ext uri="{FF2B5EF4-FFF2-40B4-BE49-F238E27FC236}">
              <a16:creationId xmlns="" xmlns:a16="http://schemas.microsoft.com/office/drawing/2014/main" id="{00000000-0008-0000-0B00-000093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4" name="Text Box 1">
          <a:extLst>
            <a:ext uri="{FF2B5EF4-FFF2-40B4-BE49-F238E27FC236}">
              <a16:creationId xmlns="" xmlns:a16="http://schemas.microsoft.com/office/drawing/2014/main" id="{00000000-0008-0000-0B00-000094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5" name="Text Box 1">
          <a:extLst>
            <a:ext uri="{FF2B5EF4-FFF2-40B4-BE49-F238E27FC236}">
              <a16:creationId xmlns="" xmlns:a16="http://schemas.microsoft.com/office/drawing/2014/main" id="{00000000-0008-0000-0B00-000095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6" name="Text Box 1">
          <a:extLst>
            <a:ext uri="{FF2B5EF4-FFF2-40B4-BE49-F238E27FC236}">
              <a16:creationId xmlns="" xmlns:a16="http://schemas.microsoft.com/office/drawing/2014/main" id="{00000000-0008-0000-0B00-000096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7" name="Text Box 1">
          <a:extLst>
            <a:ext uri="{FF2B5EF4-FFF2-40B4-BE49-F238E27FC236}">
              <a16:creationId xmlns="" xmlns:a16="http://schemas.microsoft.com/office/drawing/2014/main" id="{00000000-0008-0000-0B00-000097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8" name="Text Box 1">
          <a:extLst>
            <a:ext uri="{FF2B5EF4-FFF2-40B4-BE49-F238E27FC236}">
              <a16:creationId xmlns="" xmlns:a16="http://schemas.microsoft.com/office/drawing/2014/main" id="{00000000-0008-0000-0B00-000098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09" name="Text Box 1">
          <a:extLst>
            <a:ext uri="{FF2B5EF4-FFF2-40B4-BE49-F238E27FC236}">
              <a16:creationId xmlns="" xmlns:a16="http://schemas.microsoft.com/office/drawing/2014/main" id="{00000000-0008-0000-0B00-000099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0" name="Text Box 1">
          <a:extLst>
            <a:ext uri="{FF2B5EF4-FFF2-40B4-BE49-F238E27FC236}">
              <a16:creationId xmlns="" xmlns:a16="http://schemas.microsoft.com/office/drawing/2014/main" id="{00000000-0008-0000-0B00-00009A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1" name="Text Box 1">
          <a:extLst>
            <a:ext uri="{FF2B5EF4-FFF2-40B4-BE49-F238E27FC236}">
              <a16:creationId xmlns="" xmlns:a16="http://schemas.microsoft.com/office/drawing/2014/main" id="{00000000-0008-0000-0B00-00009B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2" name="Text Box 1">
          <a:extLst>
            <a:ext uri="{FF2B5EF4-FFF2-40B4-BE49-F238E27FC236}">
              <a16:creationId xmlns="" xmlns:a16="http://schemas.microsoft.com/office/drawing/2014/main" id="{00000000-0008-0000-0B00-00009C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3" name="Text Box 1">
          <a:extLst>
            <a:ext uri="{FF2B5EF4-FFF2-40B4-BE49-F238E27FC236}">
              <a16:creationId xmlns="" xmlns:a16="http://schemas.microsoft.com/office/drawing/2014/main" id="{00000000-0008-0000-0B00-00009D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4" name="Text Box 1">
          <a:extLst>
            <a:ext uri="{FF2B5EF4-FFF2-40B4-BE49-F238E27FC236}">
              <a16:creationId xmlns="" xmlns:a16="http://schemas.microsoft.com/office/drawing/2014/main" id="{00000000-0008-0000-0B00-00009E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5" name="Text Box 1">
          <a:extLst>
            <a:ext uri="{FF2B5EF4-FFF2-40B4-BE49-F238E27FC236}">
              <a16:creationId xmlns="" xmlns:a16="http://schemas.microsoft.com/office/drawing/2014/main" id="{00000000-0008-0000-0B00-00009F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106</xdr:row>
      <xdr:rowOff>0</xdr:rowOff>
    </xdr:from>
    <xdr:ext cx="104775" cy="171450"/>
    <xdr:sp macro="" textlink="">
      <xdr:nvSpPr>
        <xdr:cNvPr id="416" name="Text Box 1">
          <a:extLst>
            <a:ext uri="{FF2B5EF4-FFF2-40B4-BE49-F238E27FC236}">
              <a16:creationId xmlns="" xmlns:a16="http://schemas.microsoft.com/office/drawing/2014/main" id="{00000000-0008-0000-0B00-0000A0010000}"/>
            </a:ext>
          </a:extLst>
        </xdr:cNvPr>
        <xdr:cNvSpPr txBox="1">
          <a:spLocks noChangeArrowheads="1"/>
        </xdr:cNvSpPr>
      </xdr:nvSpPr>
      <xdr:spPr bwMode="auto">
        <a:xfrm>
          <a:off x="0" y="516466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xmlns="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xmlns="" id="{00000000-0008-0000-0B00-00000B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xmlns="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xmlns="" id="{00000000-0008-0000-0B00-00000D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xmlns="" id="{00000000-0008-0000-0B00-00000E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xmlns="" id="{00000000-0008-0000-0B00-00000F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xmlns="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xmlns="" id="{00000000-0008-0000-0B00-000011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xmlns="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xmlns="" id="{00000000-0008-0000-0B00-000013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xmlns="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xmlns="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xmlns="" id="{00000000-0008-0000-0B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xmlns="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xmlns="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xmlns="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xmlns="" id="{00000000-0008-0000-0B00-00001A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xmlns="" id="{00000000-0008-0000-0B00-00001B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xmlns="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xmlns="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xmlns="" id="{00000000-0008-0000-0B00-00001E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xmlns="" id="{00000000-0008-0000-0B00-00001F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xmlns="" id="{00000000-0008-0000-0B00-000020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xmlns="" id="{00000000-0008-0000-0B00-000021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xmlns="" id="{00000000-0008-0000-0B00-000022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xmlns="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xmlns="" id="{00000000-0008-0000-0B00-000024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xmlns="" id="{00000000-0008-0000-0B00-000025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xmlns="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xmlns="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xmlns="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xmlns="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0" y="31699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xmlns="" id="{00000000-0008-0000-0B00-000034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xmlns="" id="{00000000-0008-0000-0B00-000035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xmlns="" id="{00000000-0008-0000-0B00-000036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xmlns="" id="{00000000-0008-0000-0B00-000037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xmlns="" id="{00000000-0008-0000-0B00-000038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xmlns="" id="{00000000-0008-0000-0B00-000039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xmlns="" id="{00000000-0008-0000-0B00-00003A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xmlns="" id="{00000000-0008-0000-0B00-00003B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xmlns="" id="{00000000-0008-0000-0B00-00003C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xmlns="" id="{00000000-0008-0000-0B00-00003D000000}"/>
            </a:ext>
          </a:extLst>
        </xdr:cNvPr>
        <xdr:cNvSpPr txBox="1">
          <a:spLocks noChangeArrowheads="1"/>
        </xdr:cNvSpPr>
      </xdr:nvSpPr>
      <xdr:spPr bwMode="auto">
        <a:xfrm>
          <a:off x="0" y="32089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xmlns="" id="{00000000-0008-0000-0B00-00003E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xmlns="" id="{00000000-0008-0000-0B00-00003F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xmlns="" id="{00000000-0008-0000-0B00-000040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xmlns="" id="{00000000-0008-0000-0B00-000041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xmlns="" id="{00000000-0008-0000-0B00-000042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xmlns="" id="{00000000-0008-0000-0B00-000043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xmlns="" id="{00000000-0008-0000-0B00-000044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xmlns="" id="{00000000-0008-0000-0B00-000045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xmlns="" id="{00000000-0008-0000-0B00-000046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xmlns="" id="{00000000-0008-0000-0B00-000047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xmlns="" id="{00000000-0008-0000-0B00-00005B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xmlns="" id="{00000000-0008-0000-0B00-00005C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xmlns="" id="{00000000-0008-0000-0B00-00005D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xmlns="" id="{00000000-0008-0000-0B00-00005E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xmlns="" id="{00000000-0008-0000-0B00-00005F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xmlns="" id="{00000000-0008-0000-0B00-000060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xmlns="" id="{00000000-0008-0000-0B00-000061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xmlns="" id="{00000000-0008-0000-0B00-000062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xmlns="" id="{00000000-0008-0000-0B00-000063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124791</xdr:rowOff>
    </xdr:to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xmlns="" id="{00000000-0008-0000-0B00-000064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25</xdr:row>
      <xdr:rowOff>0</xdr:rowOff>
    </xdr:from>
    <xdr:ext cx="85725" cy="510"/>
    <xdr:sp macro="" textlink="">
      <xdr:nvSpPr>
        <xdr:cNvPr id="531" name="Text Box 9">
          <a:extLst>
            <a:ext uri="{FF2B5EF4-FFF2-40B4-BE49-F238E27FC236}">
              <a16:creationId xmlns:a16="http://schemas.microsoft.com/office/drawing/2014/main" xmlns="" id="{00000000-0008-0000-0B00-000082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85725" cy="510"/>
    <xdr:sp macro="" textlink="">
      <xdr:nvSpPr>
        <xdr:cNvPr id="532" name="Text Box 9">
          <a:extLst>
            <a:ext uri="{FF2B5EF4-FFF2-40B4-BE49-F238E27FC236}">
              <a16:creationId xmlns:a16="http://schemas.microsoft.com/office/drawing/2014/main" xmlns="" id="{00000000-0008-0000-0B00-000083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xmlns="" id="{00000000-0008-0000-0B00-000084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xmlns="" id="{00000000-0008-0000-0B00-000085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xmlns="" id="{00000000-0008-0000-0B00-000086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xmlns="" id="{00000000-0008-0000-0B00-000087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xmlns="" id="{00000000-0008-0000-0B00-000088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xmlns="" id="{00000000-0008-0000-0B00-000089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xmlns="" id="{00000000-0008-0000-0B00-00008A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xmlns="" id="{00000000-0008-0000-0B00-00008B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xmlns="" id="{00000000-0008-0000-0B00-00008C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xmlns="" id="{00000000-0008-0000-0B00-00008D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xmlns="" id="{00000000-0008-0000-0B00-00008E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xmlns="" id="{00000000-0008-0000-0B00-00008F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xmlns="" id="{00000000-0008-0000-0B00-000090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xmlns="" id="{00000000-0008-0000-0B00-000091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xmlns="" id="{00000000-0008-0000-0B00-000092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xmlns="" id="{00000000-0008-0000-0B00-000093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xmlns="" id="{00000000-0008-0000-0B00-000094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xmlns="" id="{00000000-0008-0000-0B00-000095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xmlns="" id="{00000000-0008-0000-0B00-000096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xmlns="" id="{00000000-0008-0000-0B00-000097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xmlns="" id="{00000000-0008-0000-0B00-000098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xmlns="" id="{00000000-0008-0000-0B00-000099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xmlns="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xmlns="" id="{00000000-0008-0000-0B00-00000B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xmlns="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xmlns="" id="{00000000-0008-0000-0B00-00000D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xmlns="" id="{00000000-0008-0000-0B00-00000E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xmlns="" id="{00000000-0008-0000-0B00-00000F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xmlns="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xmlns="" id="{00000000-0008-0000-0B00-000011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xmlns="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xmlns="" id="{00000000-0008-0000-0B00-000013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xmlns="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xmlns="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xmlns="" id="{00000000-0008-0000-0B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xmlns="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xmlns="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xmlns="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xmlns="" id="{00000000-0008-0000-0B00-00001A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xmlns="" id="{00000000-0008-0000-0B00-00001B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xmlns="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xmlns="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xmlns="" id="{00000000-0008-0000-0B00-00001E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104775</xdr:colOff>
      <xdr:row>9</xdr:row>
      <xdr:rowOff>163419</xdr:rowOff>
    </xdr:to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xmlns="" id="{00000000-0008-0000-0B00-00001F000000}"/>
            </a:ext>
          </a:extLst>
        </xdr:cNvPr>
        <xdr:cNvSpPr txBox="1">
          <a:spLocks noChangeArrowheads="1"/>
        </xdr:cNvSpPr>
      </xdr:nvSpPr>
      <xdr:spPr bwMode="auto">
        <a:xfrm>
          <a:off x="0" y="2105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xmlns="" id="{00000000-0008-0000-0B00-000020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xmlns="" id="{00000000-0008-0000-0B00-000021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xmlns="" id="{00000000-0008-0000-0B00-000022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xmlns="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xmlns="" id="{00000000-0008-0000-0B00-000024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xmlns="" id="{00000000-0008-0000-0B00-000025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xmlns="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xmlns="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xmlns="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100</xdr:row>
      <xdr:rowOff>0</xdr:rowOff>
    </xdr:from>
    <xdr:to>
      <xdr:col>7</xdr:col>
      <xdr:colOff>104775</xdr:colOff>
      <xdr:row>100</xdr:row>
      <xdr:rowOff>161304</xdr:rowOff>
    </xdr:to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xmlns="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0" y="33689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xmlns="" id="{00000000-0008-0000-0B00-000034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xmlns="" id="{00000000-0008-0000-0B00-000035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xmlns="" id="{00000000-0008-0000-0B00-000036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xmlns="" id="{00000000-0008-0000-0B00-000037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xmlns="" id="{00000000-0008-0000-0B00-000038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xmlns="" id="{00000000-0008-0000-0B00-000039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xmlns="" id="{00000000-0008-0000-0B00-00003A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xmlns="" id="{00000000-0008-0000-0B00-00003B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xmlns="" id="{00000000-0008-0000-0B00-00003C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102</xdr:row>
      <xdr:rowOff>0</xdr:rowOff>
    </xdr:from>
    <xdr:ext cx="104775" cy="163419"/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xmlns="" id="{00000000-0008-0000-0B00-00003D000000}"/>
            </a:ext>
          </a:extLst>
        </xdr:cNvPr>
        <xdr:cNvSpPr txBox="1">
          <a:spLocks noChangeArrowheads="1"/>
        </xdr:cNvSpPr>
      </xdr:nvSpPr>
      <xdr:spPr bwMode="auto">
        <a:xfrm>
          <a:off x="0" y="340804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xmlns="" id="{00000000-0008-0000-0B00-00003E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xmlns="" id="{00000000-0008-0000-0B00-00003F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xmlns="" id="{00000000-0008-0000-0B00-000040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xmlns="" id="{00000000-0008-0000-0B00-000041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xmlns="" id="{00000000-0008-0000-0B00-000042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xmlns="" id="{00000000-0008-0000-0B00-000043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xmlns="" id="{00000000-0008-0000-0B00-000044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xmlns="" id="{00000000-0008-0000-0B00-000045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xmlns="" id="{00000000-0008-0000-0B00-000046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23</xdr:row>
      <xdr:rowOff>152400</xdr:rowOff>
    </xdr:from>
    <xdr:ext cx="104775" cy="163419"/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xmlns="" id="{00000000-0008-0000-0B00-000047000000}"/>
            </a:ext>
          </a:extLst>
        </xdr:cNvPr>
        <xdr:cNvSpPr txBox="1">
          <a:spLocks noChangeArrowheads="1"/>
        </xdr:cNvSpPr>
      </xdr:nvSpPr>
      <xdr:spPr bwMode="auto">
        <a:xfrm>
          <a:off x="0" y="494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xmlns="" id="{00000000-0008-0000-0B00-000065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xmlns="" id="{00000000-0008-0000-0B00-000066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xmlns="" id="{00000000-0008-0000-0B00-000067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xmlns="" id="{00000000-0008-0000-0B00-000068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xmlns="" id="{00000000-0008-0000-0B00-000069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xmlns="" id="{00000000-0008-0000-0B00-00006A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xmlns="" id="{00000000-0008-0000-0B00-00006B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xmlns="" id="{00000000-0008-0000-0B00-00006C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xmlns="" id="{00000000-0008-0000-0B00-00006D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xmlns="" id="{00000000-0008-0000-0B00-00006E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xmlns="" id="{00000000-0008-0000-0B00-00006F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xmlns="" id="{00000000-0008-0000-0B00-000070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xmlns="" id="{00000000-0008-0000-0B00-000071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28" name="Text Box 1">
          <a:extLst>
            <a:ext uri="{FF2B5EF4-FFF2-40B4-BE49-F238E27FC236}">
              <a16:creationId xmlns:a16="http://schemas.microsoft.com/office/drawing/2014/main" xmlns="" id="{00000000-0008-0000-0B00-000072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29" name="Text Box 1">
          <a:extLst>
            <a:ext uri="{FF2B5EF4-FFF2-40B4-BE49-F238E27FC236}">
              <a16:creationId xmlns:a16="http://schemas.microsoft.com/office/drawing/2014/main" xmlns="" id="{00000000-0008-0000-0B00-000073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xmlns="" id="{00000000-0008-0000-0B00-000074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31" name="Text Box 1">
          <a:extLst>
            <a:ext uri="{FF2B5EF4-FFF2-40B4-BE49-F238E27FC236}">
              <a16:creationId xmlns:a16="http://schemas.microsoft.com/office/drawing/2014/main" xmlns="" id="{00000000-0008-0000-0B00-000075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xmlns="" id="{00000000-0008-0000-0B00-000076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33" name="Text Box 1">
          <a:extLst>
            <a:ext uri="{FF2B5EF4-FFF2-40B4-BE49-F238E27FC236}">
              <a16:creationId xmlns:a16="http://schemas.microsoft.com/office/drawing/2014/main" xmlns="" id="{00000000-0008-0000-0B00-000077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634" name="Text Box 1">
          <a:extLst>
            <a:ext uri="{FF2B5EF4-FFF2-40B4-BE49-F238E27FC236}">
              <a16:creationId xmlns:a16="http://schemas.microsoft.com/office/drawing/2014/main" xmlns="" id="{00000000-0008-0000-0B00-000078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35" name="Text Box 1">
          <a:extLst>
            <a:ext uri="{FF2B5EF4-FFF2-40B4-BE49-F238E27FC236}">
              <a16:creationId xmlns:a16="http://schemas.microsoft.com/office/drawing/2014/main" xmlns="" id="{00000000-0008-0000-0B00-000079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36" name="Text Box 1">
          <a:extLst>
            <a:ext uri="{FF2B5EF4-FFF2-40B4-BE49-F238E27FC236}">
              <a16:creationId xmlns:a16="http://schemas.microsoft.com/office/drawing/2014/main" xmlns="" id="{00000000-0008-0000-0B00-00007A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37" name="Text Box 1">
          <a:extLst>
            <a:ext uri="{FF2B5EF4-FFF2-40B4-BE49-F238E27FC236}">
              <a16:creationId xmlns:a16="http://schemas.microsoft.com/office/drawing/2014/main" xmlns="" id="{00000000-0008-0000-0B00-00007B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xmlns="" id="{00000000-0008-0000-0B00-00007C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39" name="Text Box 1">
          <a:extLst>
            <a:ext uri="{FF2B5EF4-FFF2-40B4-BE49-F238E27FC236}">
              <a16:creationId xmlns:a16="http://schemas.microsoft.com/office/drawing/2014/main" xmlns="" id="{00000000-0008-0000-0B00-00007D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40" name="Text Box 1">
          <a:extLst>
            <a:ext uri="{FF2B5EF4-FFF2-40B4-BE49-F238E27FC236}">
              <a16:creationId xmlns:a16="http://schemas.microsoft.com/office/drawing/2014/main" xmlns="" id="{00000000-0008-0000-0B00-00007E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41" name="Text Box 1">
          <a:extLst>
            <a:ext uri="{FF2B5EF4-FFF2-40B4-BE49-F238E27FC236}">
              <a16:creationId xmlns:a16="http://schemas.microsoft.com/office/drawing/2014/main" xmlns="" id="{00000000-0008-0000-0B00-00007F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xmlns="" id="{00000000-0008-0000-0B00-000080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171450</xdr:rowOff>
    </xdr:to>
    <xdr:sp macro="" textlink="">
      <xdr:nvSpPr>
        <xdr:cNvPr id="643" name="Text Box 1">
          <a:extLst>
            <a:ext uri="{FF2B5EF4-FFF2-40B4-BE49-F238E27FC236}">
              <a16:creationId xmlns:a16="http://schemas.microsoft.com/office/drawing/2014/main" xmlns="" id="{00000000-0008-0000-0B00-000081000000}"/>
            </a:ext>
          </a:extLst>
        </xdr:cNvPr>
        <xdr:cNvSpPr txBox="1">
          <a:spLocks noChangeArrowheads="1"/>
        </xdr:cNvSpPr>
      </xdr:nvSpPr>
      <xdr:spPr bwMode="auto">
        <a:xfrm>
          <a:off x="0" y="35242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4" name="Text Box 1">
          <a:extLst>
            <a:ext uri="{FF2B5EF4-FFF2-40B4-BE49-F238E27FC236}">
              <a16:creationId xmlns:a16="http://schemas.microsoft.com/office/drawing/2014/main" xmlns="" id="{00000000-0008-0000-0B00-00005B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5" name="Text Box 1">
          <a:extLst>
            <a:ext uri="{FF2B5EF4-FFF2-40B4-BE49-F238E27FC236}">
              <a16:creationId xmlns:a16="http://schemas.microsoft.com/office/drawing/2014/main" xmlns="" id="{00000000-0008-0000-0B00-00005C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6" name="Text Box 1">
          <a:extLst>
            <a:ext uri="{FF2B5EF4-FFF2-40B4-BE49-F238E27FC236}">
              <a16:creationId xmlns:a16="http://schemas.microsoft.com/office/drawing/2014/main" xmlns="" id="{00000000-0008-0000-0B00-00005D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7" name="Text Box 1">
          <a:extLst>
            <a:ext uri="{FF2B5EF4-FFF2-40B4-BE49-F238E27FC236}">
              <a16:creationId xmlns:a16="http://schemas.microsoft.com/office/drawing/2014/main" xmlns="" id="{00000000-0008-0000-0B00-00005E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xmlns="" id="{00000000-0008-0000-0B00-00005F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xmlns="" id="{00000000-0008-0000-0B00-000060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50" name="Text Box 1">
          <a:extLst>
            <a:ext uri="{FF2B5EF4-FFF2-40B4-BE49-F238E27FC236}">
              <a16:creationId xmlns:a16="http://schemas.microsoft.com/office/drawing/2014/main" xmlns="" id="{00000000-0008-0000-0B00-000061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51" name="Text Box 1">
          <a:extLst>
            <a:ext uri="{FF2B5EF4-FFF2-40B4-BE49-F238E27FC236}">
              <a16:creationId xmlns:a16="http://schemas.microsoft.com/office/drawing/2014/main" xmlns="" id="{00000000-0008-0000-0B00-000062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52" name="Text Box 1">
          <a:extLst>
            <a:ext uri="{FF2B5EF4-FFF2-40B4-BE49-F238E27FC236}">
              <a16:creationId xmlns:a16="http://schemas.microsoft.com/office/drawing/2014/main" xmlns="" id="{00000000-0008-0000-0B00-000063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152400</xdr:rowOff>
    </xdr:from>
    <xdr:to>
      <xdr:col>7</xdr:col>
      <xdr:colOff>104775</xdr:colOff>
      <xdr:row>26</xdr:row>
      <xdr:rowOff>134316</xdr:rowOff>
    </xdr:to>
    <xdr:sp macro="" textlink="">
      <xdr:nvSpPr>
        <xdr:cNvPr id="653" name="Text Box 1">
          <a:extLst>
            <a:ext uri="{FF2B5EF4-FFF2-40B4-BE49-F238E27FC236}">
              <a16:creationId xmlns:a16="http://schemas.microsoft.com/office/drawing/2014/main" xmlns="" id="{00000000-0008-0000-0B00-000064000000}"/>
            </a:ext>
          </a:extLst>
        </xdr:cNvPr>
        <xdr:cNvSpPr txBox="1">
          <a:spLocks noChangeArrowheads="1"/>
        </xdr:cNvSpPr>
      </xdr:nvSpPr>
      <xdr:spPr bwMode="auto">
        <a:xfrm>
          <a:off x="0" y="53435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25</xdr:row>
      <xdr:rowOff>0</xdr:rowOff>
    </xdr:from>
    <xdr:ext cx="85725" cy="510"/>
    <xdr:sp macro="" textlink="">
      <xdr:nvSpPr>
        <xdr:cNvPr id="654" name="Text Box 9">
          <a:extLst>
            <a:ext uri="{FF2B5EF4-FFF2-40B4-BE49-F238E27FC236}">
              <a16:creationId xmlns:a16="http://schemas.microsoft.com/office/drawing/2014/main" xmlns="" id="{00000000-0008-0000-0B00-000082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85725" cy="510"/>
    <xdr:sp macro="" textlink="">
      <xdr:nvSpPr>
        <xdr:cNvPr id="655" name="Text Box 9">
          <a:extLst>
            <a:ext uri="{FF2B5EF4-FFF2-40B4-BE49-F238E27FC236}">
              <a16:creationId xmlns:a16="http://schemas.microsoft.com/office/drawing/2014/main" xmlns="" id="{00000000-0008-0000-0B00-000083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56" name="Text Box 1">
          <a:extLst>
            <a:ext uri="{FF2B5EF4-FFF2-40B4-BE49-F238E27FC236}">
              <a16:creationId xmlns:a16="http://schemas.microsoft.com/office/drawing/2014/main" xmlns="" id="{00000000-0008-0000-0B00-000084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57" name="Text Box 1">
          <a:extLst>
            <a:ext uri="{FF2B5EF4-FFF2-40B4-BE49-F238E27FC236}">
              <a16:creationId xmlns:a16="http://schemas.microsoft.com/office/drawing/2014/main" xmlns="" id="{00000000-0008-0000-0B00-000085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58" name="Text Box 1">
          <a:extLst>
            <a:ext uri="{FF2B5EF4-FFF2-40B4-BE49-F238E27FC236}">
              <a16:creationId xmlns:a16="http://schemas.microsoft.com/office/drawing/2014/main" xmlns="" id="{00000000-0008-0000-0B00-000086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59" name="Text Box 1">
          <a:extLst>
            <a:ext uri="{FF2B5EF4-FFF2-40B4-BE49-F238E27FC236}">
              <a16:creationId xmlns:a16="http://schemas.microsoft.com/office/drawing/2014/main" xmlns="" id="{00000000-0008-0000-0B00-000087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0" name="Text Box 1">
          <a:extLst>
            <a:ext uri="{FF2B5EF4-FFF2-40B4-BE49-F238E27FC236}">
              <a16:creationId xmlns:a16="http://schemas.microsoft.com/office/drawing/2014/main" xmlns="" id="{00000000-0008-0000-0B00-000088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xmlns="" id="{00000000-0008-0000-0B00-000089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xmlns="" id="{00000000-0008-0000-0B00-00008A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xmlns="" id="{00000000-0008-0000-0B00-00008B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xmlns="" id="{00000000-0008-0000-0B00-00008C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</xdr:row>
      <xdr:rowOff>0</xdr:rowOff>
    </xdr:from>
    <xdr:ext cx="104775" cy="171450"/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xmlns="" id="{00000000-0008-0000-0B00-00008D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xmlns="" id="{00000000-0008-0000-0B00-00008E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xmlns="" id="{00000000-0008-0000-0B00-00008F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xmlns="" id="{00000000-0008-0000-0B00-000090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xmlns="" id="{00000000-0008-0000-0B00-000091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xmlns="" id="{00000000-0008-0000-0B00-000092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xmlns="" id="{00000000-0008-0000-0B00-000093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xmlns="" id="{00000000-0008-0000-0B00-000094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xmlns="" id="{00000000-0008-0000-0B00-000095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xmlns="" id="{00000000-0008-0000-0B00-000096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xmlns="" id="{00000000-0008-0000-0B00-000097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xmlns="" id="{00000000-0008-0000-0B00-000098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104775</xdr:colOff>
      <xdr:row>25</xdr:row>
      <xdr:rowOff>171450</xdr:rowOff>
    </xdr:to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xmlns="" id="{00000000-0008-0000-0B00-000099000000}"/>
            </a:ext>
          </a:extLst>
        </xdr:cNvPr>
        <xdr:cNvSpPr txBox="1">
          <a:spLocks noChangeArrowheads="1"/>
        </xdr:cNvSpPr>
      </xdr:nvSpPr>
      <xdr:spPr bwMode="auto">
        <a:xfrm>
          <a:off x="0" y="5191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xmlns="" id="{00000000-0008-0000-0B00-00009A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xmlns="" id="{00000000-0008-0000-0B00-00009B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xmlns="" id="{00000000-0008-0000-0B00-00009C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xmlns="" id="{00000000-0008-0000-0B00-00009D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xmlns="" id="{00000000-0008-0000-0B00-00009E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3" name="Text Box 1">
          <a:extLst>
            <a:ext uri="{FF2B5EF4-FFF2-40B4-BE49-F238E27FC236}">
              <a16:creationId xmlns:a16="http://schemas.microsoft.com/office/drawing/2014/main" xmlns="" id="{00000000-0008-0000-0B00-00009F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4" name="Text Box 1">
          <a:extLst>
            <a:ext uri="{FF2B5EF4-FFF2-40B4-BE49-F238E27FC236}">
              <a16:creationId xmlns:a16="http://schemas.microsoft.com/office/drawing/2014/main" xmlns="" id="{00000000-0008-0000-0B00-0000A0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5" name="Text Box 1">
          <a:extLst>
            <a:ext uri="{FF2B5EF4-FFF2-40B4-BE49-F238E27FC236}">
              <a16:creationId xmlns:a16="http://schemas.microsoft.com/office/drawing/2014/main" xmlns="" id="{00000000-0008-0000-0B00-0000A1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6" name="Text Box 1">
          <a:extLst>
            <a:ext uri="{FF2B5EF4-FFF2-40B4-BE49-F238E27FC236}">
              <a16:creationId xmlns:a16="http://schemas.microsoft.com/office/drawing/2014/main" xmlns="" id="{00000000-0008-0000-0B00-0000A2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7" name="Text Box 1">
          <a:extLst>
            <a:ext uri="{FF2B5EF4-FFF2-40B4-BE49-F238E27FC236}">
              <a16:creationId xmlns:a16="http://schemas.microsoft.com/office/drawing/2014/main" xmlns="" id="{00000000-0008-0000-0B00-0000A3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8" name="Text Box 1">
          <a:extLst>
            <a:ext uri="{FF2B5EF4-FFF2-40B4-BE49-F238E27FC236}">
              <a16:creationId xmlns:a16="http://schemas.microsoft.com/office/drawing/2014/main" xmlns="" id="{00000000-0008-0000-0B00-0000A4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89" name="Text Box 1">
          <a:extLst>
            <a:ext uri="{FF2B5EF4-FFF2-40B4-BE49-F238E27FC236}">
              <a16:creationId xmlns:a16="http://schemas.microsoft.com/office/drawing/2014/main" xmlns="" id="{00000000-0008-0000-0B00-0000A5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0" name="Text Box 1">
          <a:extLst>
            <a:ext uri="{FF2B5EF4-FFF2-40B4-BE49-F238E27FC236}">
              <a16:creationId xmlns:a16="http://schemas.microsoft.com/office/drawing/2014/main" xmlns="" id="{00000000-0008-0000-0B00-0000A6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1" name="Text Box 1">
          <a:extLst>
            <a:ext uri="{FF2B5EF4-FFF2-40B4-BE49-F238E27FC236}">
              <a16:creationId xmlns:a16="http://schemas.microsoft.com/office/drawing/2014/main" xmlns="" id="{00000000-0008-0000-0B00-0000A7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2" name="Text Box 1">
          <a:extLst>
            <a:ext uri="{FF2B5EF4-FFF2-40B4-BE49-F238E27FC236}">
              <a16:creationId xmlns:a16="http://schemas.microsoft.com/office/drawing/2014/main" xmlns="" id="{00000000-0008-0000-0B00-0000A8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3" name="Text Box 1">
          <a:extLst>
            <a:ext uri="{FF2B5EF4-FFF2-40B4-BE49-F238E27FC236}">
              <a16:creationId xmlns:a16="http://schemas.microsoft.com/office/drawing/2014/main" xmlns="" id="{00000000-0008-0000-0B00-0000A9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xmlns="" id="{00000000-0008-0000-0B00-0000AA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5" name="Text Box 1">
          <a:extLst>
            <a:ext uri="{FF2B5EF4-FFF2-40B4-BE49-F238E27FC236}">
              <a16:creationId xmlns:a16="http://schemas.microsoft.com/office/drawing/2014/main" xmlns="" id="{00000000-0008-0000-0B00-0000AB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6" name="Text Box 1">
          <a:extLst>
            <a:ext uri="{FF2B5EF4-FFF2-40B4-BE49-F238E27FC236}">
              <a16:creationId xmlns:a16="http://schemas.microsoft.com/office/drawing/2014/main" xmlns="" id="{00000000-0008-0000-0B00-0000AC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7" name="Text Box 1">
          <a:extLst>
            <a:ext uri="{FF2B5EF4-FFF2-40B4-BE49-F238E27FC236}">
              <a16:creationId xmlns:a16="http://schemas.microsoft.com/office/drawing/2014/main" xmlns="" id="{00000000-0008-0000-0B00-0000AD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8" name="Text Box 1">
          <a:extLst>
            <a:ext uri="{FF2B5EF4-FFF2-40B4-BE49-F238E27FC236}">
              <a16:creationId xmlns:a16="http://schemas.microsoft.com/office/drawing/2014/main" xmlns="" id="{00000000-0008-0000-0B00-0000AE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xmlns="" id="{00000000-0008-0000-0B00-0000AF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0" name="Text Box 1">
          <a:extLst>
            <a:ext uri="{FF2B5EF4-FFF2-40B4-BE49-F238E27FC236}">
              <a16:creationId xmlns:a16="http://schemas.microsoft.com/office/drawing/2014/main" xmlns="" id="{00000000-0008-0000-0B00-0000B0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1" name="Text Box 1">
          <a:extLst>
            <a:ext uri="{FF2B5EF4-FFF2-40B4-BE49-F238E27FC236}">
              <a16:creationId xmlns:a16="http://schemas.microsoft.com/office/drawing/2014/main" xmlns="" id="{00000000-0008-0000-0B00-0000B1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2" name="Text Box 1">
          <a:extLst>
            <a:ext uri="{FF2B5EF4-FFF2-40B4-BE49-F238E27FC236}">
              <a16:creationId xmlns:a16="http://schemas.microsoft.com/office/drawing/2014/main" xmlns="" id="{00000000-0008-0000-0B00-0000B2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3" name="Text Box 1">
          <a:extLst>
            <a:ext uri="{FF2B5EF4-FFF2-40B4-BE49-F238E27FC236}">
              <a16:creationId xmlns:a16="http://schemas.microsoft.com/office/drawing/2014/main" xmlns="" id="{00000000-0008-0000-0B00-0000B3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4" name="Text Box 1">
          <a:extLst>
            <a:ext uri="{FF2B5EF4-FFF2-40B4-BE49-F238E27FC236}">
              <a16:creationId xmlns:a16="http://schemas.microsoft.com/office/drawing/2014/main" xmlns="" id="{00000000-0008-0000-0B00-0000B4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5" name="Text Box 1">
          <a:extLst>
            <a:ext uri="{FF2B5EF4-FFF2-40B4-BE49-F238E27FC236}">
              <a16:creationId xmlns:a16="http://schemas.microsoft.com/office/drawing/2014/main" xmlns="" id="{00000000-0008-0000-0B00-0000B5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6" name="Text Box 1">
          <a:extLst>
            <a:ext uri="{FF2B5EF4-FFF2-40B4-BE49-F238E27FC236}">
              <a16:creationId xmlns:a16="http://schemas.microsoft.com/office/drawing/2014/main" xmlns="" id="{00000000-0008-0000-0B00-0000B6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07" name="Text Box 1">
          <a:extLst>
            <a:ext uri="{FF2B5EF4-FFF2-40B4-BE49-F238E27FC236}">
              <a16:creationId xmlns:a16="http://schemas.microsoft.com/office/drawing/2014/main" xmlns="" id="{00000000-0008-0000-0B00-0000B7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08" name="Text Box 1">
          <a:extLst>
            <a:ext uri="{FF2B5EF4-FFF2-40B4-BE49-F238E27FC236}">
              <a16:creationId xmlns:a16="http://schemas.microsoft.com/office/drawing/2014/main" xmlns="" id="{00000000-0008-0000-0B00-0000B8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09" name="Text Box 1">
          <a:extLst>
            <a:ext uri="{FF2B5EF4-FFF2-40B4-BE49-F238E27FC236}">
              <a16:creationId xmlns:a16="http://schemas.microsoft.com/office/drawing/2014/main" xmlns="" id="{00000000-0008-0000-0B00-0000B9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0" name="Text Box 1">
          <a:extLst>
            <a:ext uri="{FF2B5EF4-FFF2-40B4-BE49-F238E27FC236}">
              <a16:creationId xmlns:a16="http://schemas.microsoft.com/office/drawing/2014/main" xmlns="" id="{00000000-0008-0000-0B00-0000BA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1" name="Text Box 1">
          <a:extLst>
            <a:ext uri="{FF2B5EF4-FFF2-40B4-BE49-F238E27FC236}">
              <a16:creationId xmlns:a16="http://schemas.microsoft.com/office/drawing/2014/main" xmlns="" id="{00000000-0008-0000-0B00-0000BB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2" name="Text Box 1">
          <a:extLst>
            <a:ext uri="{FF2B5EF4-FFF2-40B4-BE49-F238E27FC236}">
              <a16:creationId xmlns:a16="http://schemas.microsoft.com/office/drawing/2014/main" xmlns="" id="{00000000-0008-0000-0B00-0000BC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3" name="Text Box 1">
          <a:extLst>
            <a:ext uri="{FF2B5EF4-FFF2-40B4-BE49-F238E27FC236}">
              <a16:creationId xmlns:a16="http://schemas.microsoft.com/office/drawing/2014/main" xmlns="" id="{00000000-0008-0000-0B00-0000BD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xmlns="" id="{00000000-0008-0000-0B00-0000BE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xmlns="" id="{00000000-0008-0000-0B00-0000BF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6" name="Text Box 1">
          <a:extLst>
            <a:ext uri="{FF2B5EF4-FFF2-40B4-BE49-F238E27FC236}">
              <a16:creationId xmlns:a16="http://schemas.microsoft.com/office/drawing/2014/main" xmlns="" id="{00000000-0008-0000-0B00-0000C0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17" name="Text Box 1">
          <a:extLst>
            <a:ext uri="{FF2B5EF4-FFF2-40B4-BE49-F238E27FC236}">
              <a16:creationId xmlns:a16="http://schemas.microsoft.com/office/drawing/2014/main" xmlns="" id="{00000000-0008-0000-0B00-0000C1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18" name="Text Box 1">
          <a:extLst>
            <a:ext uri="{FF2B5EF4-FFF2-40B4-BE49-F238E27FC236}">
              <a16:creationId xmlns:a16="http://schemas.microsoft.com/office/drawing/2014/main" xmlns="" id="{00000000-0008-0000-0B00-0000C2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19" name="Text Box 1">
          <a:extLst>
            <a:ext uri="{FF2B5EF4-FFF2-40B4-BE49-F238E27FC236}">
              <a16:creationId xmlns:a16="http://schemas.microsoft.com/office/drawing/2014/main" xmlns="" id="{00000000-0008-0000-0B00-0000C3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0" name="Text Box 1">
          <a:extLst>
            <a:ext uri="{FF2B5EF4-FFF2-40B4-BE49-F238E27FC236}">
              <a16:creationId xmlns:a16="http://schemas.microsoft.com/office/drawing/2014/main" xmlns="" id="{00000000-0008-0000-0B00-0000C4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1" name="Text Box 1">
          <a:extLst>
            <a:ext uri="{FF2B5EF4-FFF2-40B4-BE49-F238E27FC236}">
              <a16:creationId xmlns:a16="http://schemas.microsoft.com/office/drawing/2014/main" xmlns="" id="{00000000-0008-0000-0B00-0000C5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xmlns="" id="{00000000-0008-0000-0B00-0000C6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3" name="Text Box 1">
          <a:extLst>
            <a:ext uri="{FF2B5EF4-FFF2-40B4-BE49-F238E27FC236}">
              <a16:creationId xmlns:a16="http://schemas.microsoft.com/office/drawing/2014/main" xmlns="" id="{00000000-0008-0000-0B00-0000C7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4" name="Text Box 1">
          <a:extLst>
            <a:ext uri="{FF2B5EF4-FFF2-40B4-BE49-F238E27FC236}">
              <a16:creationId xmlns:a16="http://schemas.microsoft.com/office/drawing/2014/main" xmlns="" id="{00000000-0008-0000-0B00-0000C8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5" name="Text Box 1">
          <a:extLst>
            <a:ext uri="{FF2B5EF4-FFF2-40B4-BE49-F238E27FC236}">
              <a16:creationId xmlns:a16="http://schemas.microsoft.com/office/drawing/2014/main" xmlns="" id="{00000000-0008-0000-0B00-0000C9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6" name="Text Box 1">
          <a:extLst>
            <a:ext uri="{FF2B5EF4-FFF2-40B4-BE49-F238E27FC236}">
              <a16:creationId xmlns:a16="http://schemas.microsoft.com/office/drawing/2014/main" xmlns="" id="{00000000-0008-0000-0B00-0000CA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7" name="Text Box 1">
          <a:extLst>
            <a:ext uri="{FF2B5EF4-FFF2-40B4-BE49-F238E27FC236}">
              <a16:creationId xmlns:a16="http://schemas.microsoft.com/office/drawing/2014/main" xmlns="" id="{00000000-0008-0000-0B00-0000CB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8" name="Text Box 1">
          <a:extLst>
            <a:ext uri="{FF2B5EF4-FFF2-40B4-BE49-F238E27FC236}">
              <a16:creationId xmlns:a16="http://schemas.microsoft.com/office/drawing/2014/main" xmlns="" id="{00000000-0008-0000-0B00-0000CC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29" name="Text Box 1">
          <a:extLst>
            <a:ext uri="{FF2B5EF4-FFF2-40B4-BE49-F238E27FC236}">
              <a16:creationId xmlns:a16="http://schemas.microsoft.com/office/drawing/2014/main" xmlns="" id="{00000000-0008-0000-0B00-0000CD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0" name="Text Box 1">
          <a:extLst>
            <a:ext uri="{FF2B5EF4-FFF2-40B4-BE49-F238E27FC236}">
              <a16:creationId xmlns:a16="http://schemas.microsoft.com/office/drawing/2014/main" xmlns="" id="{00000000-0008-0000-0B00-0000CE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1" name="Text Box 1">
          <a:extLst>
            <a:ext uri="{FF2B5EF4-FFF2-40B4-BE49-F238E27FC236}">
              <a16:creationId xmlns:a16="http://schemas.microsoft.com/office/drawing/2014/main" xmlns="" id="{00000000-0008-0000-0B00-0000CF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2" name="Text Box 1">
          <a:extLst>
            <a:ext uri="{FF2B5EF4-FFF2-40B4-BE49-F238E27FC236}">
              <a16:creationId xmlns:a16="http://schemas.microsoft.com/office/drawing/2014/main" xmlns="" id="{00000000-0008-0000-0B00-0000D0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3" name="Text Box 1">
          <a:extLst>
            <a:ext uri="{FF2B5EF4-FFF2-40B4-BE49-F238E27FC236}">
              <a16:creationId xmlns:a16="http://schemas.microsoft.com/office/drawing/2014/main" xmlns="" id="{00000000-0008-0000-0B00-0000D1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xmlns="" id="{00000000-0008-0000-0B00-0000D2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5" name="Text Box 1">
          <a:extLst>
            <a:ext uri="{FF2B5EF4-FFF2-40B4-BE49-F238E27FC236}">
              <a16:creationId xmlns:a16="http://schemas.microsoft.com/office/drawing/2014/main" xmlns="" id="{00000000-0008-0000-0B00-0000D3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6" name="Text Box 1">
          <a:extLst>
            <a:ext uri="{FF2B5EF4-FFF2-40B4-BE49-F238E27FC236}">
              <a16:creationId xmlns:a16="http://schemas.microsoft.com/office/drawing/2014/main" xmlns="" id="{00000000-0008-0000-0B00-0000D4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7" name="Text Box 1">
          <a:extLst>
            <a:ext uri="{FF2B5EF4-FFF2-40B4-BE49-F238E27FC236}">
              <a16:creationId xmlns:a16="http://schemas.microsoft.com/office/drawing/2014/main" xmlns="" id="{00000000-0008-0000-0B00-0000D5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8" name="Text Box 1">
          <a:extLst>
            <a:ext uri="{FF2B5EF4-FFF2-40B4-BE49-F238E27FC236}">
              <a16:creationId xmlns:a16="http://schemas.microsoft.com/office/drawing/2014/main" xmlns="" id="{00000000-0008-0000-0B00-0000D6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39" name="Text Box 1">
          <a:extLst>
            <a:ext uri="{FF2B5EF4-FFF2-40B4-BE49-F238E27FC236}">
              <a16:creationId xmlns:a16="http://schemas.microsoft.com/office/drawing/2014/main" xmlns="" id="{00000000-0008-0000-0B00-0000D7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0" name="Text Box 1">
          <a:extLst>
            <a:ext uri="{FF2B5EF4-FFF2-40B4-BE49-F238E27FC236}">
              <a16:creationId xmlns:a16="http://schemas.microsoft.com/office/drawing/2014/main" xmlns="" id="{00000000-0008-0000-0B00-0000D8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xmlns="" id="{00000000-0008-0000-0B00-0000D9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2" name="Text Box 1">
          <a:extLst>
            <a:ext uri="{FF2B5EF4-FFF2-40B4-BE49-F238E27FC236}">
              <a16:creationId xmlns:a16="http://schemas.microsoft.com/office/drawing/2014/main" xmlns="" id="{00000000-0008-0000-0B00-0000DA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xmlns="" id="{00000000-0008-0000-0B00-0000DB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xmlns="" id="{00000000-0008-0000-0B00-0000DC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5" name="Text Box 1">
          <a:extLst>
            <a:ext uri="{FF2B5EF4-FFF2-40B4-BE49-F238E27FC236}">
              <a16:creationId xmlns:a16="http://schemas.microsoft.com/office/drawing/2014/main" xmlns="" id="{00000000-0008-0000-0B00-0000DD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6" name="Text Box 1">
          <a:extLst>
            <a:ext uri="{FF2B5EF4-FFF2-40B4-BE49-F238E27FC236}">
              <a16:creationId xmlns:a16="http://schemas.microsoft.com/office/drawing/2014/main" xmlns="" id="{00000000-0008-0000-0B00-0000DE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xmlns="" id="{00000000-0008-0000-0B00-0000DF00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48" name="Text Box 1">
          <a:extLst>
            <a:ext uri="{FF2B5EF4-FFF2-40B4-BE49-F238E27FC236}">
              <a16:creationId xmlns:a16="http://schemas.microsoft.com/office/drawing/2014/main" xmlns="" id="{00000000-0008-0000-0B00-0000E0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49" name="Text Box 1">
          <a:extLst>
            <a:ext uri="{FF2B5EF4-FFF2-40B4-BE49-F238E27FC236}">
              <a16:creationId xmlns:a16="http://schemas.microsoft.com/office/drawing/2014/main" xmlns="" id="{00000000-0008-0000-0B00-0000E1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0" name="Text Box 1">
          <a:extLst>
            <a:ext uri="{FF2B5EF4-FFF2-40B4-BE49-F238E27FC236}">
              <a16:creationId xmlns:a16="http://schemas.microsoft.com/office/drawing/2014/main" xmlns="" id="{00000000-0008-0000-0B00-0000E2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1" name="Text Box 1">
          <a:extLst>
            <a:ext uri="{FF2B5EF4-FFF2-40B4-BE49-F238E27FC236}">
              <a16:creationId xmlns:a16="http://schemas.microsoft.com/office/drawing/2014/main" xmlns="" id="{00000000-0008-0000-0B00-0000E3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2" name="Text Box 1">
          <a:extLst>
            <a:ext uri="{FF2B5EF4-FFF2-40B4-BE49-F238E27FC236}">
              <a16:creationId xmlns:a16="http://schemas.microsoft.com/office/drawing/2014/main" xmlns="" id="{00000000-0008-0000-0B00-0000E4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xmlns="" id="{00000000-0008-0000-0B00-0000E5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4" name="Text Box 1">
          <a:extLst>
            <a:ext uri="{FF2B5EF4-FFF2-40B4-BE49-F238E27FC236}">
              <a16:creationId xmlns:a16="http://schemas.microsoft.com/office/drawing/2014/main" xmlns="" id="{00000000-0008-0000-0B00-0000E6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5" name="Text Box 1">
          <a:extLst>
            <a:ext uri="{FF2B5EF4-FFF2-40B4-BE49-F238E27FC236}">
              <a16:creationId xmlns:a16="http://schemas.microsoft.com/office/drawing/2014/main" xmlns="" id="{00000000-0008-0000-0B00-0000E7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xmlns="" id="{00000000-0008-0000-0B00-0000E8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1304"/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xmlns="" id="{00000000-0008-0000-0B00-0000E9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58" name="Text Box 1">
          <a:extLst>
            <a:ext uri="{FF2B5EF4-FFF2-40B4-BE49-F238E27FC236}">
              <a16:creationId xmlns:a16="http://schemas.microsoft.com/office/drawing/2014/main" xmlns="" id="{00000000-0008-0000-0B00-0000EA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xmlns="" id="{00000000-0008-0000-0B00-0000EB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0" name="Text Box 1">
          <a:extLst>
            <a:ext uri="{FF2B5EF4-FFF2-40B4-BE49-F238E27FC236}">
              <a16:creationId xmlns:a16="http://schemas.microsoft.com/office/drawing/2014/main" xmlns="" id="{00000000-0008-0000-0B00-0000EC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1" name="Text Box 1">
          <a:extLst>
            <a:ext uri="{FF2B5EF4-FFF2-40B4-BE49-F238E27FC236}">
              <a16:creationId xmlns:a16="http://schemas.microsoft.com/office/drawing/2014/main" xmlns="" id="{00000000-0008-0000-0B00-0000ED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xmlns="" id="{00000000-0008-0000-0B00-0000EE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xmlns="" id="{00000000-0008-0000-0B00-0000EF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4" name="Text Box 1">
          <a:extLst>
            <a:ext uri="{FF2B5EF4-FFF2-40B4-BE49-F238E27FC236}">
              <a16:creationId xmlns:a16="http://schemas.microsoft.com/office/drawing/2014/main" xmlns="" id="{00000000-0008-0000-0B00-0000F0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5" name="Text Box 1">
          <a:extLst>
            <a:ext uri="{FF2B5EF4-FFF2-40B4-BE49-F238E27FC236}">
              <a16:creationId xmlns:a16="http://schemas.microsoft.com/office/drawing/2014/main" xmlns="" id="{00000000-0008-0000-0B00-0000F1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6" name="Text Box 1">
          <a:extLst>
            <a:ext uri="{FF2B5EF4-FFF2-40B4-BE49-F238E27FC236}">
              <a16:creationId xmlns:a16="http://schemas.microsoft.com/office/drawing/2014/main" xmlns="" id="{00000000-0008-0000-0B00-0000F2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67" name="Text Box 1">
          <a:extLst>
            <a:ext uri="{FF2B5EF4-FFF2-40B4-BE49-F238E27FC236}">
              <a16:creationId xmlns:a16="http://schemas.microsoft.com/office/drawing/2014/main" xmlns="" id="{00000000-0008-0000-0B00-0000F300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xmlns="" id="{00000000-0008-0000-0B00-0000F4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69" name="Text Box 1">
          <a:extLst>
            <a:ext uri="{FF2B5EF4-FFF2-40B4-BE49-F238E27FC236}">
              <a16:creationId xmlns:a16="http://schemas.microsoft.com/office/drawing/2014/main" xmlns="" id="{00000000-0008-0000-0B00-0000F5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0" name="Text Box 1">
          <a:extLst>
            <a:ext uri="{FF2B5EF4-FFF2-40B4-BE49-F238E27FC236}">
              <a16:creationId xmlns:a16="http://schemas.microsoft.com/office/drawing/2014/main" xmlns="" id="{00000000-0008-0000-0B00-0000F6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1" name="Text Box 1">
          <a:extLst>
            <a:ext uri="{FF2B5EF4-FFF2-40B4-BE49-F238E27FC236}">
              <a16:creationId xmlns:a16="http://schemas.microsoft.com/office/drawing/2014/main" xmlns="" id="{00000000-0008-0000-0B00-0000F7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2" name="Text Box 1">
          <a:extLst>
            <a:ext uri="{FF2B5EF4-FFF2-40B4-BE49-F238E27FC236}">
              <a16:creationId xmlns:a16="http://schemas.microsoft.com/office/drawing/2014/main" xmlns="" id="{00000000-0008-0000-0B00-0000F8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3" name="Text Box 1">
          <a:extLst>
            <a:ext uri="{FF2B5EF4-FFF2-40B4-BE49-F238E27FC236}">
              <a16:creationId xmlns:a16="http://schemas.microsoft.com/office/drawing/2014/main" xmlns="" id="{00000000-0008-0000-0B00-0000F9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4" name="Text Box 1">
          <a:extLst>
            <a:ext uri="{FF2B5EF4-FFF2-40B4-BE49-F238E27FC236}">
              <a16:creationId xmlns:a16="http://schemas.microsoft.com/office/drawing/2014/main" xmlns="" id="{00000000-0008-0000-0B00-0000FA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5" name="Text Box 1">
          <a:extLst>
            <a:ext uri="{FF2B5EF4-FFF2-40B4-BE49-F238E27FC236}">
              <a16:creationId xmlns:a16="http://schemas.microsoft.com/office/drawing/2014/main" xmlns="" id="{00000000-0008-0000-0B00-0000FB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6" name="Text Box 1">
          <a:extLst>
            <a:ext uri="{FF2B5EF4-FFF2-40B4-BE49-F238E27FC236}">
              <a16:creationId xmlns:a16="http://schemas.microsoft.com/office/drawing/2014/main" xmlns="" id="{00000000-0008-0000-0B00-0000FC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777" name="Text Box 1">
          <a:extLst>
            <a:ext uri="{FF2B5EF4-FFF2-40B4-BE49-F238E27FC236}">
              <a16:creationId xmlns:a16="http://schemas.microsoft.com/office/drawing/2014/main" xmlns="" id="{00000000-0008-0000-0B00-0000FD00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78" name="Text Box 1">
          <a:extLst>
            <a:ext uri="{FF2B5EF4-FFF2-40B4-BE49-F238E27FC236}">
              <a16:creationId xmlns:a16="http://schemas.microsoft.com/office/drawing/2014/main" xmlns="" id="{00000000-0008-0000-0B00-0000FE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xmlns="" id="{00000000-0008-0000-0B00-0000FF00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0" name="Text Box 1">
          <a:extLst>
            <a:ext uri="{FF2B5EF4-FFF2-40B4-BE49-F238E27FC236}">
              <a16:creationId xmlns:a16="http://schemas.microsoft.com/office/drawing/2014/main" xmlns="" id="{00000000-0008-0000-0B00-000000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1" name="Text Box 1">
          <a:extLst>
            <a:ext uri="{FF2B5EF4-FFF2-40B4-BE49-F238E27FC236}">
              <a16:creationId xmlns:a16="http://schemas.microsoft.com/office/drawing/2014/main" xmlns="" id="{00000000-0008-0000-0B00-000001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2" name="Text Box 1">
          <a:extLst>
            <a:ext uri="{FF2B5EF4-FFF2-40B4-BE49-F238E27FC236}">
              <a16:creationId xmlns:a16="http://schemas.microsoft.com/office/drawing/2014/main" xmlns="" id="{00000000-0008-0000-0B00-000002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3" name="Text Box 1">
          <a:extLst>
            <a:ext uri="{FF2B5EF4-FFF2-40B4-BE49-F238E27FC236}">
              <a16:creationId xmlns:a16="http://schemas.microsoft.com/office/drawing/2014/main" xmlns="" id="{00000000-0008-0000-0B00-000003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4" name="Text Box 1">
          <a:extLst>
            <a:ext uri="{FF2B5EF4-FFF2-40B4-BE49-F238E27FC236}">
              <a16:creationId xmlns:a16="http://schemas.microsoft.com/office/drawing/2014/main" xmlns="" id="{00000000-0008-0000-0B00-000004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xmlns="" id="{00000000-0008-0000-0B00-000005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6" name="Text Box 1">
          <a:extLst>
            <a:ext uri="{FF2B5EF4-FFF2-40B4-BE49-F238E27FC236}">
              <a16:creationId xmlns:a16="http://schemas.microsoft.com/office/drawing/2014/main" xmlns="" id="{00000000-0008-0000-0B00-000006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xmlns="" id="{00000000-0008-0000-0B00-000007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xmlns="" id="{00000000-0008-0000-0B00-000008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89" name="Text Box 1">
          <a:extLst>
            <a:ext uri="{FF2B5EF4-FFF2-40B4-BE49-F238E27FC236}">
              <a16:creationId xmlns:a16="http://schemas.microsoft.com/office/drawing/2014/main" xmlns="" id="{00000000-0008-0000-0B00-000009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0" name="Text Box 1">
          <a:extLst>
            <a:ext uri="{FF2B5EF4-FFF2-40B4-BE49-F238E27FC236}">
              <a16:creationId xmlns:a16="http://schemas.microsoft.com/office/drawing/2014/main" xmlns="" id="{00000000-0008-0000-0B00-00000A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xmlns="" id="{00000000-0008-0000-0B00-00000B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2" name="Text Box 1">
          <a:extLst>
            <a:ext uri="{FF2B5EF4-FFF2-40B4-BE49-F238E27FC236}">
              <a16:creationId xmlns:a16="http://schemas.microsoft.com/office/drawing/2014/main" xmlns="" id="{00000000-0008-0000-0B00-00000C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3" name="Text Box 1">
          <a:extLst>
            <a:ext uri="{FF2B5EF4-FFF2-40B4-BE49-F238E27FC236}">
              <a16:creationId xmlns:a16="http://schemas.microsoft.com/office/drawing/2014/main" xmlns="" id="{00000000-0008-0000-0B00-00000D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4" name="Text Box 1">
          <a:extLst>
            <a:ext uri="{FF2B5EF4-FFF2-40B4-BE49-F238E27FC236}">
              <a16:creationId xmlns:a16="http://schemas.microsoft.com/office/drawing/2014/main" xmlns="" id="{00000000-0008-0000-0B00-00000E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5" name="Text Box 1">
          <a:extLst>
            <a:ext uri="{FF2B5EF4-FFF2-40B4-BE49-F238E27FC236}">
              <a16:creationId xmlns:a16="http://schemas.microsoft.com/office/drawing/2014/main" xmlns="" id="{00000000-0008-0000-0B00-00000F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6" name="Text Box 1">
          <a:extLst>
            <a:ext uri="{FF2B5EF4-FFF2-40B4-BE49-F238E27FC236}">
              <a16:creationId xmlns:a16="http://schemas.microsoft.com/office/drawing/2014/main" xmlns="" id="{00000000-0008-0000-0B00-000010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xmlns="" id="{00000000-0008-0000-0B00-000011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xmlns="" id="{00000000-0008-0000-0B00-000012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xmlns="" id="{00000000-0008-0000-0B00-000013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0" name="Text Box 1">
          <a:extLst>
            <a:ext uri="{FF2B5EF4-FFF2-40B4-BE49-F238E27FC236}">
              <a16:creationId xmlns:a16="http://schemas.microsoft.com/office/drawing/2014/main" xmlns="" id="{00000000-0008-0000-0B00-000014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1" name="Text Box 1">
          <a:extLst>
            <a:ext uri="{FF2B5EF4-FFF2-40B4-BE49-F238E27FC236}">
              <a16:creationId xmlns:a16="http://schemas.microsoft.com/office/drawing/2014/main" xmlns="" id="{00000000-0008-0000-0B00-000015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xmlns="" id="{00000000-0008-0000-0B00-000016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3" name="Text Box 1">
          <a:extLst>
            <a:ext uri="{FF2B5EF4-FFF2-40B4-BE49-F238E27FC236}">
              <a16:creationId xmlns:a16="http://schemas.microsoft.com/office/drawing/2014/main" xmlns="" id="{00000000-0008-0000-0B00-000017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4" name="Text Box 1">
          <a:extLst>
            <a:ext uri="{FF2B5EF4-FFF2-40B4-BE49-F238E27FC236}">
              <a16:creationId xmlns:a16="http://schemas.microsoft.com/office/drawing/2014/main" xmlns="" id="{00000000-0008-0000-0B00-000018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5" name="Text Box 1">
          <a:extLst>
            <a:ext uri="{FF2B5EF4-FFF2-40B4-BE49-F238E27FC236}">
              <a16:creationId xmlns:a16="http://schemas.microsoft.com/office/drawing/2014/main" xmlns="" id="{00000000-0008-0000-0B00-000019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6" name="Text Box 1">
          <a:extLst>
            <a:ext uri="{FF2B5EF4-FFF2-40B4-BE49-F238E27FC236}">
              <a16:creationId xmlns:a16="http://schemas.microsoft.com/office/drawing/2014/main" xmlns="" id="{00000000-0008-0000-0B00-00001A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7" name="Text Box 1">
          <a:extLst>
            <a:ext uri="{FF2B5EF4-FFF2-40B4-BE49-F238E27FC236}">
              <a16:creationId xmlns:a16="http://schemas.microsoft.com/office/drawing/2014/main" xmlns="" id="{00000000-0008-0000-0B00-00001B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8" name="Text Box 1">
          <a:extLst>
            <a:ext uri="{FF2B5EF4-FFF2-40B4-BE49-F238E27FC236}">
              <a16:creationId xmlns:a16="http://schemas.microsoft.com/office/drawing/2014/main" xmlns="" id="{00000000-0008-0000-0B00-00001C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09" name="Text Box 1">
          <a:extLst>
            <a:ext uri="{FF2B5EF4-FFF2-40B4-BE49-F238E27FC236}">
              <a16:creationId xmlns:a16="http://schemas.microsoft.com/office/drawing/2014/main" xmlns="" id="{00000000-0008-0000-0B00-00001D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0" name="Text Box 1">
          <a:extLst>
            <a:ext uri="{FF2B5EF4-FFF2-40B4-BE49-F238E27FC236}">
              <a16:creationId xmlns:a16="http://schemas.microsoft.com/office/drawing/2014/main" xmlns="" id="{00000000-0008-0000-0B00-00001E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1" name="Text Box 1">
          <a:extLst>
            <a:ext uri="{FF2B5EF4-FFF2-40B4-BE49-F238E27FC236}">
              <a16:creationId xmlns:a16="http://schemas.microsoft.com/office/drawing/2014/main" xmlns="" id="{00000000-0008-0000-0B00-00001F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2" name="Text Box 1">
          <a:extLst>
            <a:ext uri="{FF2B5EF4-FFF2-40B4-BE49-F238E27FC236}">
              <a16:creationId xmlns:a16="http://schemas.microsoft.com/office/drawing/2014/main" xmlns="" id="{00000000-0008-0000-0B00-000020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3" name="Text Box 1">
          <a:extLst>
            <a:ext uri="{FF2B5EF4-FFF2-40B4-BE49-F238E27FC236}">
              <a16:creationId xmlns:a16="http://schemas.microsoft.com/office/drawing/2014/main" xmlns="" id="{00000000-0008-0000-0B00-000021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4" name="Text Box 1">
          <a:extLst>
            <a:ext uri="{FF2B5EF4-FFF2-40B4-BE49-F238E27FC236}">
              <a16:creationId xmlns:a16="http://schemas.microsoft.com/office/drawing/2014/main" xmlns="" id="{00000000-0008-0000-0B00-000022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5" name="Text Box 1">
          <a:extLst>
            <a:ext uri="{FF2B5EF4-FFF2-40B4-BE49-F238E27FC236}">
              <a16:creationId xmlns:a16="http://schemas.microsoft.com/office/drawing/2014/main" xmlns="" id="{00000000-0008-0000-0B00-000023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6" name="Text Box 1">
          <a:extLst>
            <a:ext uri="{FF2B5EF4-FFF2-40B4-BE49-F238E27FC236}">
              <a16:creationId xmlns:a16="http://schemas.microsoft.com/office/drawing/2014/main" xmlns="" id="{00000000-0008-0000-0B00-000024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17" name="Text Box 1">
          <a:extLst>
            <a:ext uri="{FF2B5EF4-FFF2-40B4-BE49-F238E27FC236}">
              <a16:creationId xmlns:a16="http://schemas.microsoft.com/office/drawing/2014/main" xmlns="" id="{00000000-0008-0000-0B00-000025010000}"/>
            </a:ext>
          </a:extLst>
        </xdr:cNvPr>
        <xdr:cNvSpPr txBox="1">
          <a:spLocks noChangeArrowheads="1"/>
        </xdr:cNvSpPr>
      </xdr:nvSpPr>
      <xdr:spPr bwMode="auto">
        <a:xfrm>
          <a:off x="0" y="46377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18" name="Text Box 1">
          <a:extLst>
            <a:ext uri="{FF2B5EF4-FFF2-40B4-BE49-F238E27FC236}">
              <a16:creationId xmlns:a16="http://schemas.microsoft.com/office/drawing/2014/main" xmlns="" id="{00000000-0008-0000-0B00-000026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19" name="Text Box 1">
          <a:extLst>
            <a:ext uri="{FF2B5EF4-FFF2-40B4-BE49-F238E27FC236}">
              <a16:creationId xmlns:a16="http://schemas.microsoft.com/office/drawing/2014/main" xmlns="" id="{00000000-0008-0000-0B00-000027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0" name="Text Box 1">
          <a:extLst>
            <a:ext uri="{FF2B5EF4-FFF2-40B4-BE49-F238E27FC236}">
              <a16:creationId xmlns:a16="http://schemas.microsoft.com/office/drawing/2014/main" xmlns="" id="{00000000-0008-0000-0B00-000028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1" name="Text Box 1">
          <a:extLst>
            <a:ext uri="{FF2B5EF4-FFF2-40B4-BE49-F238E27FC236}">
              <a16:creationId xmlns:a16="http://schemas.microsoft.com/office/drawing/2014/main" xmlns="" id="{00000000-0008-0000-0B00-000029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2" name="Text Box 1">
          <a:extLst>
            <a:ext uri="{FF2B5EF4-FFF2-40B4-BE49-F238E27FC236}">
              <a16:creationId xmlns:a16="http://schemas.microsoft.com/office/drawing/2014/main" xmlns="" id="{00000000-0008-0000-0B00-00002A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3" name="Text Box 1">
          <a:extLst>
            <a:ext uri="{FF2B5EF4-FFF2-40B4-BE49-F238E27FC236}">
              <a16:creationId xmlns:a16="http://schemas.microsoft.com/office/drawing/2014/main" xmlns="" id="{00000000-0008-0000-0B00-00002B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4" name="Text Box 1">
          <a:extLst>
            <a:ext uri="{FF2B5EF4-FFF2-40B4-BE49-F238E27FC236}">
              <a16:creationId xmlns:a16="http://schemas.microsoft.com/office/drawing/2014/main" xmlns="" id="{00000000-0008-0000-0B00-00002C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5" name="Text Box 1">
          <a:extLst>
            <a:ext uri="{FF2B5EF4-FFF2-40B4-BE49-F238E27FC236}">
              <a16:creationId xmlns:a16="http://schemas.microsoft.com/office/drawing/2014/main" xmlns="" id="{00000000-0008-0000-0B00-00002D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6" name="Text Box 1">
          <a:extLst>
            <a:ext uri="{FF2B5EF4-FFF2-40B4-BE49-F238E27FC236}">
              <a16:creationId xmlns:a16="http://schemas.microsoft.com/office/drawing/2014/main" xmlns="" id="{00000000-0008-0000-0B00-00002E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106</xdr:row>
      <xdr:rowOff>0</xdr:rowOff>
    </xdr:from>
    <xdr:to>
      <xdr:col>7</xdr:col>
      <xdr:colOff>104775</xdr:colOff>
      <xdr:row>106</xdr:row>
      <xdr:rowOff>161304</xdr:rowOff>
    </xdr:to>
    <xdr:sp macro="" textlink="">
      <xdr:nvSpPr>
        <xdr:cNvPr id="827" name="Text Box 1">
          <a:extLst>
            <a:ext uri="{FF2B5EF4-FFF2-40B4-BE49-F238E27FC236}">
              <a16:creationId xmlns:a16="http://schemas.microsoft.com/office/drawing/2014/main" xmlns="" id="{00000000-0008-0000-0B00-00002F010000}"/>
            </a:ext>
          </a:extLst>
        </xdr:cNvPr>
        <xdr:cNvSpPr txBox="1">
          <a:spLocks noChangeArrowheads="1"/>
        </xdr:cNvSpPr>
      </xdr:nvSpPr>
      <xdr:spPr bwMode="auto">
        <a:xfrm>
          <a:off x="0" y="648557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28" name="Text Box 1">
          <a:extLst>
            <a:ext uri="{FF2B5EF4-FFF2-40B4-BE49-F238E27FC236}">
              <a16:creationId xmlns:a16="http://schemas.microsoft.com/office/drawing/2014/main" xmlns="" id="{00000000-0008-0000-0B00-000030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29" name="Text Box 1">
          <a:extLst>
            <a:ext uri="{FF2B5EF4-FFF2-40B4-BE49-F238E27FC236}">
              <a16:creationId xmlns:a16="http://schemas.microsoft.com/office/drawing/2014/main" xmlns="" id="{00000000-0008-0000-0B00-000031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0" name="Text Box 1">
          <a:extLst>
            <a:ext uri="{FF2B5EF4-FFF2-40B4-BE49-F238E27FC236}">
              <a16:creationId xmlns:a16="http://schemas.microsoft.com/office/drawing/2014/main" xmlns="" id="{00000000-0008-0000-0B00-000032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xmlns="" id="{00000000-0008-0000-0B00-000033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2" name="Text Box 1">
          <a:extLst>
            <a:ext uri="{FF2B5EF4-FFF2-40B4-BE49-F238E27FC236}">
              <a16:creationId xmlns:a16="http://schemas.microsoft.com/office/drawing/2014/main" xmlns="" id="{00000000-0008-0000-0B00-000034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3" name="Text Box 1">
          <a:extLst>
            <a:ext uri="{FF2B5EF4-FFF2-40B4-BE49-F238E27FC236}">
              <a16:creationId xmlns:a16="http://schemas.microsoft.com/office/drawing/2014/main" xmlns="" id="{00000000-0008-0000-0B00-000035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4" name="Text Box 1">
          <a:extLst>
            <a:ext uri="{FF2B5EF4-FFF2-40B4-BE49-F238E27FC236}">
              <a16:creationId xmlns:a16="http://schemas.microsoft.com/office/drawing/2014/main" xmlns="" id="{00000000-0008-0000-0B00-000036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5" name="Text Box 1">
          <a:extLst>
            <a:ext uri="{FF2B5EF4-FFF2-40B4-BE49-F238E27FC236}">
              <a16:creationId xmlns:a16="http://schemas.microsoft.com/office/drawing/2014/main" xmlns="" id="{00000000-0008-0000-0B00-000037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6" name="Text Box 1">
          <a:extLst>
            <a:ext uri="{FF2B5EF4-FFF2-40B4-BE49-F238E27FC236}">
              <a16:creationId xmlns:a16="http://schemas.microsoft.com/office/drawing/2014/main" xmlns="" id="{00000000-0008-0000-0B00-000038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7" name="Text Box 1">
          <a:extLst>
            <a:ext uri="{FF2B5EF4-FFF2-40B4-BE49-F238E27FC236}">
              <a16:creationId xmlns:a16="http://schemas.microsoft.com/office/drawing/2014/main" xmlns="" id="{00000000-0008-0000-0B00-000039010000}"/>
            </a:ext>
          </a:extLst>
        </xdr:cNvPr>
        <xdr:cNvSpPr txBox="1">
          <a:spLocks noChangeArrowheads="1"/>
        </xdr:cNvSpPr>
      </xdr:nvSpPr>
      <xdr:spPr bwMode="auto">
        <a:xfrm>
          <a:off x="0" y="65246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8" name="Text Box 1">
          <a:extLst>
            <a:ext uri="{FF2B5EF4-FFF2-40B4-BE49-F238E27FC236}">
              <a16:creationId xmlns:a16="http://schemas.microsoft.com/office/drawing/2014/main" xmlns="" id="{00000000-0008-0000-0B00-00003A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39" name="Text Box 1">
          <a:extLst>
            <a:ext uri="{FF2B5EF4-FFF2-40B4-BE49-F238E27FC236}">
              <a16:creationId xmlns:a16="http://schemas.microsoft.com/office/drawing/2014/main" xmlns="" id="{00000000-0008-0000-0B00-00003B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0" name="Text Box 1">
          <a:extLst>
            <a:ext uri="{FF2B5EF4-FFF2-40B4-BE49-F238E27FC236}">
              <a16:creationId xmlns:a16="http://schemas.microsoft.com/office/drawing/2014/main" xmlns="" id="{00000000-0008-0000-0B00-00003C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1" name="Text Box 1">
          <a:extLst>
            <a:ext uri="{FF2B5EF4-FFF2-40B4-BE49-F238E27FC236}">
              <a16:creationId xmlns:a16="http://schemas.microsoft.com/office/drawing/2014/main" xmlns="" id="{00000000-0008-0000-0B00-00003D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xmlns="" id="{00000000-0008-0000-0B00-00003E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3" name="Text Box 1">
          <a:extLst>
            <a:ext uri="{FF2B5EF4-FFF2-40B4-BE49-F238E27FC236}">
              <a16:creationId xmlns:a16="http://schemas.microsoft.com/office/drawing/2014/main" xmlns="" id="{00000000-0008-0000-0B00-00003F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xmlns="" id="{00000000-0008-0000-0B00-000040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5" name="Text Box 1">
          <a:extLst>
            <a:ext uri="{FF2B5EF4-FFF2-40B4-BE49-F238E27FC236}">
              <a16:creationId xmlns:a16="http://schemas.microsoft.com/office/drawing/2014/main" xmlns="" id="{00000000-0008-0000-0B00-000041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6" name="Text Box 1">
          <a:extLst>
            <a:ext uri="{FF2B5EF4-FFF2-40B4-BE49-F238E27FC236}">
              <a16:creationId xmlns:a16="http://schemas.microsoft.com/office/drawing/2014/main" xmlns="" id="{00000000-0008-0000-0B00-000042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7" name="Text Box 1">
          <a:extLst>
            <a:ext uri="{FF2B5EF4-FFF2-40B4-BE49-F238E27FC236}">
              <a16:creationId xmlns:a16="http://schemas.microsoft.com/office/drawing/2014/main" xmlns="" id="{00000000-0008-0000-0B00-000043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8" name="Text Box 1">
          <a:extLst>
            <a:ext uri="{FF2B5EF4-FFF2-40B4-BE49-F238E27FC236}">
              <a16:creationId xmlns:a16="http://schemas.microsoft.com/office/drawing/2014/main" xmlns="" id="{00000000-0008-0000-0B00-000044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49" name="Text Box 1">
          <a:extLst>
            <a:ext uri="{FF2B5EF4-FFF2-40B4-BE49-F238E27FC236}">
              <a16:creationId xmlns:a16="http://schemas.microsoft.com/office/drawing/2014/main" xmlns="" id="{00000000-0008-0000-0B00-000045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0" name="Text Box 1">
          <a:extLst>
            <a:ext uri="{FF2B5EF4-FFF2-40B4-BE49-F238E27FC236}">
              <a16:creationId xmlns:a16="http://schemas.microsoft.com/office/drawing/2014/main" xmlns="" id="{00000000-0008-0000-0B00-000046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1" name="Text Box 1">
          <a:extLst>
            <a:ext uri="{FF2B5EF4-FFF2-40B4-BE49-F238E27FC236}">
              <a16:creationId xmlns:a16="http://schemas.microsoft.com/office/drawing/2014/main" xmlns="" id="{00000000-0008-0000-0B00-000047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2" name="Text Box 1">
          <a:extLst>
            <a:ext uri="{FF2B5EF4-FFF2-40B4-BE49-F238E27FC236}">
              <a16:creationId xmlns:a16="http://schemas.microsoft.com/office/drawing/2014/main" xmlns="" id="{00000000-0008-0000-0B00-000048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3" name="Text Box 1">
          <a:extLst>
            <a:ext uri="{FF2B5EF4-FFF2-40B4-BE49-F238E27FC236}">
              <a16:creationId xmlns:a16="http://schemas.microsoft.com/office/drawing/2014/main" xmlns="" id="{00000000-0008-0000-0B00-000049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4" name="Text Box 1">
          <a:extLst>
            <a:ext uri="{FF2B5EF4-FFF2-40B4-BE49-F238E27FC236}">
              <a16:creationId xmlns:a16="http://schemas.microsoft.com/office/drawing/2014/main" xmlns="" id="{00000000-0008-0000-0B00-00004A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xmlns="" id="{00000000-0008-0000-0B00-00004B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6" name="Text Box 1">
          <a:extLst>
            <a:ext uri="{FF2B5EF4-FFF2-40B4-BE49-F238E27FC236}">
              <a16:creationId xmlns:a16="http://schemas.microsoft.com/office/drawing/2014/main" xmlns="" id="{00000000-0008-0000-0B00-00004C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7" name="Text Box 1">
          <a:extLst>
            <a:ext uri="{FF2B5EF4-FFF2-40B4-BE49-F238E27FC236}">
              <a16:creationId xmlns:a16="http://schemas.microsoft.com/office/drawing/2014/main" xmlns="" id="{00000000-0008-0000-0B00-00004D010000}"/>
            </a:ext>
          </a:extLst>
        </xdr:cNvPr>
        <xdr:cNvSpPr txBox="1">
          <a:spLocks noChangeArrowheads="1"/>
        </xdr:cNvSpPr>
      </xdr:nvSpPr>
      <xdr:spPr bwMode="auto">
        <a:xfrm>
          <a:off x="0" y="35775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8" name="Text Box 1">
          <a:extLst>
            <a:ext uri="{FF2B5EF4-FFF2-40B4-BE49-F238E27FC236}">
              <a16:creationId xmlns:a16="http://schemas.microsoft.com/office/drawing/2014/main" xmlns="" id="{00000000-0008-0000-0B00-0000A6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59" name="Text Box 1">
          <a:extLst>
            <a:ext uri="{FF2B5EF4-FFF2-40B4-BE49-F238E27FC236}">
              <a16:creationId xmlns:a16="http://schemas.microsoft.com/office/drawing/2014/main" xmlns="" id="{00000000-0008-0000-0B00-0000A7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0" name="Text Box 1">
          <a:extLst>
            <a:ext uri="{FF2B5EF4-FFF2-40B4-BE49-F238E27FC236}">
              <a16:creationId xmlns:a16="http://schemas.microsoft.com/office/drawing/2014/main" xmlns="" id="{00000000-0008-0000-0B00-0000A8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1" name="Text Box 1">
          <a:extLst>
            <a:ext uri="{FF2B5EF4-FFF2-40B4-BE49-F238E27FC236}">
              <a16:creationId xmlns:a16="http://schemas.microsoft.com/office/drawing/2014/main" xmlns="" id="{00000000-0008-0000-0B00-0000A9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2" name="Text Box 1">
          <a:extLst>
            <a:ext uri="{FF2B5EF4-FFF2-40B4-BE49-F238E27FC236}">
              <a16:creationId xmlns:a16="http://schemas.microsoft.com/office/drawing/2014/main" xmlns="" id="{00000000-0008-0000-0B00-0000AA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3" name="Text Box 1">
          <a:extLst>
            <a:ext uri="{FF2B5EF4-FFF2-40B4-BE49-F238E27FC236}">
              <a16:creationId xmlns:a16="http://schemas.microsoft.com/office/drawing/2014/main" xmlns="" id="{00000000-0008-0000-0B00-0000AB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4" name="Text Box 1">
          <a:extLst>
            <a:ext uri="{FF2B5EF4-FFF2-40B4-BE49-F238E27FC236}">
              <a16:creationId xmlns:a16="http://schemas.microsoft.com/office/drawing/2014/main" xmlns="" id="{00000000-0008-0000-0B00-0000AC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5" name="Text Box 1">
          <a:extLst>
            <a:ext uri="{FF2B5EF4-FFF2-40B4-BE49-F238E27FC236}">
              <a16:creationId xmlns:a16="http://schemas.microsoft.com/office/drawing/2014/main" xmlns="" id="{00000000-0008-0000-0B00-0000AD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6" name="Text Box 1">
          <a:extLst>
            <a:ext uri="{FF2B5EF4-FFF2-40B4-BE49-F238E27FC236}">
              <a16:creationId xmlns:a16="http://schemas.microsoft.com/office/drawing/2014/main" xmlns="" id="{00000000-0008-0000-0B00-0000AE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3419"/>
    <xdr:sp macro="" textlink="">
      <xdr:nvSpPr>
        <xdr:cNvPr id="867" name="Text Box 1">
          <a:extLst>
            <a:ext uri="{FF2B5EF4-FFF2-40B4-BE49-F238E27FC236}">
              <a16:creationId xmlns:a16="http://schemas.microsoft.com/office/drawing/2014/main" xmlns="" id="{00000000-0008-0000-0B00-0000AF010000}"/>
            </a:ext>
          </a:extLst>
        </xdr:cNvPr>
        <xdr:cNvSpPr txBox="1">
          <a:spLocks noChangeArrowheads="1"/>
        </xdr:cNvSpPr>
      </xdr:nvSpPr>
      <xdr:spPr bwMode="auto">
        <a:xfrm>
          <a:off x="0" y="35585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xmlns="" id="{00000000-0008-0000-0B00-0000B0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69" name="Text Box 1">
          <a:extLst>
            <a:ext uri="{FF2B5EF4-FFF2-40B4-BE49-F238E27FC236}">
              <a16:creationId xmlns:a16="http://schemas.microsoft.com/office/drawing/2014/main" xmlns="" id="{00000000-0008-0000-0B00-0000B1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0" name="Text Box 1">
          <a:extLst>
            <a:ext uri="{FF2B5EF4-FFF2-40B4-BE49-F238E27FC236}">
              <a16:creationId xmlns:a16="http://schemas.microsoft.com/office/drawing/2014/main" xmlns="" id="{00000000-0008-0000-0B00-0000B2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1" name="Text Box 1">
          <a:extLst>
            <a:ext uri="{FF2B5EF4-FFF2-40B4-BE49-F238E27FC236}">
              <a16:creationId xmlns:a16="http://schemas.microsoft.com/office/drawing/2014/main" xmlns="" id="{00000000-0008-0000-0B00-0000B3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2" name="Text Box 1">
          <a:extLst>
            <a:ext uri="{FF2B5EF4-FFF2-40B4-BE49-F238E27FC236}">
              <a16:creationId xmlns:a16="http://schemas.microsoft.com/office/drawing/2014/main" xmlns="" id="{00000000-0008-0000-0B00-0000B4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3" name="Text Box 1">
          <a:extLst>
            <a:ext uri="{FF2B5EF4-FFF2-40B4-BE49-F238E27FC236}">
              <a16:creationId xmlns:a16="http://schemas.microsoft.com/office/drawing/2014/main" xmlns="" id="{00000000-0008-0000-0B00-0000B5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xmlns="" id="{00000000-0008-0000-0B00-0000B6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5" name="Text Box 1">
          <a:extLst>
            <a:ext uri="{FF2B5EF4-FFF2-40B4-BE49-F238E27FC236}">
              <a16:creationId xmlns:a16="http://schemas.microsoft.com/office/drawing/2014/main" xmlns="" id="{00000000-0008-0000-0B00-0000B7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6" name="Text Box 1">
          <a:extLst>
            <a:ext uri="{FF2B5EF4-FFF2-40B4-BE49-F238E27FC236}">
              <a16:creationId xmlns:a16="http://schemas.microsoft.com/office/drawing/2014/main" xmlns="" id="{00000000-0008-0000-0B00-0000B8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877" name="Text Box 1">
          <a:extLst>
            <a:ext uri="{FF2B5EF4-FFF2-40B4-BE49-F238E27FC236}">
              <a16:creationId xmlns:a16="http://schemas.microsoft.com/office/drawing/2014/main" xmlns="" id="{00000000-0008-0000-0B00-0000B9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85725" cy="510"/>
    <xdr:sp macro="" textlink="">
      <xdr:nvSpPr>
        <xdr:cNvPr id="878" name="Text Box 9">
          <a:extLst>
            <a:ext uri="{FF2B5EF4-FFF2-40B4-BE49-F238E27FC236}">
              <a16:creationId xmlns:a16="http://schemas.microsoft.com/office/drawing/2014/main" xmlns="" id="{00000000-0008-0000-0B00-0000BA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85725" cy="510"/>
    <xdr:sp macro="" textlink="">
      <xdr:nvSpPr>
        <xdr:cNvPr id="879" name="Text Box 9">
          <a:extLst>
            <a:ext uri="{FF2B5EF4-FFF2-40B4-BE49-F238E27FC236}">
              <a16:creationId xmlns:a16="http://schemas.microsoft.com/office/drawing/2014/main" xmlns="" id="{00000000-0008-0000-0B00-0000BB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0" name="Text Box 1">
          <a:extLst>
            <a:ext uri="{FF2B5EF4-FFF2-40B4-BE49-F238E27FC236}">
              <a16:creationId xmlns:a16="http://schemas.microsoft.com/office/drawing/2014/main" xmlns="" id="{00000000-0008-0000-0B00-0000BC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1" name="Text Box 1">
          <a:extLst>
            <a:ext uri="{FF2B5EF4-FFF2-40B4-BE49-F238E27FC236}">
              <a16:creationId xmlns:a16="http://schemas.microsoft.com/office/drawing/2014/main" xmlns="" id="{00000000-0008-0000-0B00-0000BD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xmlns="" id="{00000000-0008-0000-0B00-0000BE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3" name="Text Box 1">
          <a:extLst>
            <a:ext uri="{FF2B5EF4-FFF2-40B4-BE49-F238E27FC236}">
              <a16:creationId xmlns:a16="http://schemas.microsoft.com/office/drawing/2014/main" xmlns="" id="{00000000-0008-0000-0B00-0000BF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4" name="Text Box 1">
          <a:extLst>
            <a:ext uri="{FF2B5EF4-FFF2-40B4-BE49-F238E27FC236}">
              <a16:creationId xmlns:a16="http://schemas.microsoft.com/office/drawing/2014/main" xmlns="" id="{00000000-0008-0000-0B00-0000C0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5" name="Text Box 1">
          <a:extLst>
            <a:ext uri="{FF2B5EF4-FFF2-40B4-BE49-F238E27FC236}">
              <a16:creationId xmlns:a16="http://schemas.microsoft.com/office/drawing/2014/main" xmlns="" id="{00000000-0008-0000-0B00-0000C1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6" name="Text Box 1">
          <a:extLst>
            <a:ext uri="{FF2B5EF4-FFF2-40B4-BE49-F238E27FC236}">
              <a16:creationId xmlns:a16="http://schemas.microsoft.com/office/drawing/2014/main" xmlns="" id="{00000000-0008-0000-0B00-0000C2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7" name="Text Box 1">
          <a:extLst>
            <a:ext uri="{FF2B5EF4-FFF2-40B4-BE49-F238E27FC236}">
              <a16:creationId xmlns:a16="http://schemas.microsoft.com/office/drawing/2014/main" xmlns="" id="{00000000-0008-0000-0B00-0000C3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8" name="Text Box 1">
          <a:extLst>
            <a:ext uri="{FF2B5EF4-FFF2-40B4-BE49-F238E27FC236}">
              <a16:creationId xmlns:a16="http://schemas.microsoft.com/office/drawing/2014/main" xmlns="" id="{00000000-0008-0000-0B00-0000C4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89" name="Text Box 1">
          <a:extLst>
            <a:ext uri="{FF2B5EF4-FFF2-40B4-BE49-F238E27FC236}">
              <a16:creationId xmlns:a16="http://schemas.microsoft.com/office/drawing/2014/main" xmlns="" id="{00000000-0008-0000-0B00-0000C5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0" name="Text Box 1">
          <a:extLst>
            <a:ext uri="{FF2B5EF4-FFF2-40B4-BE49-F238E27FC236}">
              <a16:creationId xmlns:a16="http://schemas.microsoft.com/office/drawing/2014/main" xmlns="" id="{00000000-0008-0000-0B00-0000C6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1" name="Text Box 1">
          <a:extLst>
            <a:ext uri="{FF2B5EF4-FFF2-40B4-BE49-F238E27FC236}">
              <a16:creationId xmlns:a16="http://schemas.microsoft.com/office/drawing/2014/main" xmlns="" id="{00000000-0008-0000-0B00-0000C7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2" name="Text Box 1">
          <a:extLst>
            <a:ext uri="{FF2B5EF4-FFF2-40B4-BE49-F238E27FC236}">
              <a16:creationId xmlns:a16="http://schemas.microsoft.com/office/drawing/2014/main" xmlns="" id="{00000000-0008-0000-0B00-0000C8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3" name="Text Box 1">
          <a:extLst>
            <a:ext uri="{FF2B5EF4-FFF2-40B4-BE49-F238E27FC236}">
              <a16:creationId xmlns:a16="http://schemas.microsoft.com/office/drawing/2014/main" xmlns="" id="{00000000-0008-0000-0B00-0000C9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4" name="Text Box 1">
          <a:extLst>
            <a:ext uri="{FF2B5EF4-FFF2-40B4-BE49-F238E27FC236}">
              <a16:creationId xmlns:a16="http://schemas.microsoft.com/office/drawing/2014/main" xmlns="" id="{00000000-0008-0000-0B00-0000CA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5" name="Text Box 1">
          <a:extLst>
            <a:ext uri="{FF2B5EF4-FFF2-40B4-BE49-F238E27FC236}">
              <a16:creationId xmlns:a16="http://schemas.microsoft.com/office/drawing/2014/main" xmlns="" id="{00000000-0008-0000-0B00-0000CB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6" name="Text Box 1">
          <a:extLst>
            <a:ext uri="{FF2B5EF4-FFF2-40B4-BE49-F238E27FC236}">
              <a16:creationId xmlns:a16="http://schemas.microsoft.com/office/drawing/2014/main" xmlns="" id="{00000000-0008-0000-0B00-0000CC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7" name="Text Box 1">
          <a:extLst>
            <a:ext uri="{FF2B5EF4-FFF2-40B4-BE49-F238E27FC236}">
              <a16:creationId xmlns:a16="http://schemas.microsoft.com/office/drawing/2014/main" xmlns="" id="{00000000-0008-0000-0B00-0000CD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8" name="Text Box 1">
          <a:extLst>
            <a:ext uri="{FF2B5EF4-FFF2-40B4-BE49-F238E27FC236}">
              <a16:creationId xmlns:a16="http://schemas.microsoft.com/office/drawing/2014/main" xmlns="" id="{00000000-0008-0000-0B00-0000CE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899" name="Text Box 1">
          <a:extLst>
            <a:ext uri="{FF2B5EF4-FFF2-40B4-BE49-F238E27FC236}">
              <a16:creationId xmlns:a16="http://schemas.microsoft.com/office/drawing/2014/main" xmlns="" id="{00000000-0008-0000-0B00-0000CF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00" name="Text Box 1">
          <a:extLst>
            <a:ext uri="{FF2B5EF4-FFF2-40B4-BE49-F238E27FC236}">
              <a16:creationId xmlns:a16="http://schemas.microsoft.com/office/drawing/2014/main" xmlns="" id="{00000000-0008-0000-0B00-0000D0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01" name="Text Box 1">
          <a:extLst>
            <a:ext uri="{FF2B5EF4-FFF2-40B4-BE49-F238E27FC236}">
              <a16:creationId xmlns:a16="http://schemas.microsoft.com/office/drawing/2014/main" xmlns="" id="{00000000-0008-0000-0B00-0000D1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2" name="Text Box 1">
          <a:extLst>
            <a:ext uri="{FF2B5EF4-FFF2-40B4-BE49-F238E27FC236}">
              <a16:creationId xmlns:a16="http://schemas.microsoft.com/office/drawing/2014/main" xmlns="" id="{00000000-0008-0000-0B00-00007F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3" name="Text Box 1">
          <a:extLst>
            <a:ext uri="{FF2B5EF4-FFF2-40B4-BE49-F238E27FC236}">
              <a16:creationId xmlns:a16="http://schemas.microsoft.com/office/drawing/2014/main" xmlns="" id="{00000000-0008-0000-0B00-000080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4" name="Text Box 1">
          <a:extLst>
            <a:ext uri="{FF2B5EF4-FFF2-40B4-BE49-F238E27FC236}">
              <a16:creationId xmlns:a16="http://schemas.microsoft.com/office/drawing/2014/main" xmlns="" id="{00000000-0008-0000-0B00-000081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5" name="Text Box 1">
          <a:extLst>
            <a:ext uri="{FF2B5EF4-FFF2-40B4-BE49-F238E27FC236}">
              <a16:creationId xmlns:a16="http://schemas.microsoft.com/office/drawing/2014/main" xmlns="" id="{00000000-0008-0000-0B00-000082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6" name="Text Box 1">
          <a:extLst>
            <a:ext uri="{FF2B5EF4-FFF2-40B4-BE49-F238E27FC236}">
              <a16:creationId xmlns:a16="http://schemas.microsoft.com/office/drawing/2014/main" xmlns="" id="{00000000-0008-0000-0B00-000083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7" name="Text Box 1">
          <a:extLst>
            <a:ext uri="{FF2B5EF4-FFF2-40B4-BE49-F238E27FC236}">
              <a16:creationId xmlns:a16="http://schemas.microsoft.com/office/drawing/2014/main" xmlns="" id="{00000000-0008-0000-0B00-000084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8" name="Text Box 1">
          <a:extLst>
            <a:ext uri="{FF2B5EF4-FFF2-40B4-BE49-F238E27FC236}">
              <a16:creationId xmlns:a16="http://schemas.microsoft.com/office/drawing/2014/main" xmlns="" id="{00000000-0008-0000-0B00-000085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09" name="Text Box 1">
          <a:extLst>
            <a:ext uri="{FF2B5EF4-FFF2-40B4-BE49-F238E27FC236}">
              <a16:creationId xmlns:a16="http://schemas.microsoft.com/office/drawing/2014/main" xmlns="" id="{00000000-0008-0000-0B00-000086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10" name="Text Box 1">
          <a:extLst>
            <a:ext uri="{FF2B5EF4-FFF2-40B4-BE49-F238E27FC236}">
              <a16:creationId xmlns:a16="http://schemas.microsoft.com/office/drawing/2014/main" xmlns="" id="{00000000-0008-0000-0B00-000087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62891"/>
    <xdr:sp macro="" textlink="">
      <xdr:nvSpPr>
        <xdr:cNvPr id="911" name="Text Box 1">
          <a:extLst>
            <a:ext uri="{FF2B5EF4-FFF2-40B4-BE49-F238E27FC236}">
              <a16:creationId xmlns:a16="http://schemas.microsoft.com/office/drawing/2014/main" xmlns="" id="{00000000-0008-0000-0B00-000088010000}"/>
            </a:ext>
          </a:extLst>
        </xdr:cNvPr>
        <xdr:cNvSpPr txBox="1">
          <a:spLocks noChangeArrowheads="1"/>
        </xdr:cNvSpPr>
      </xdr:nvSpPr>
      <xdr:spPr bwMode="auto">
        <a:xfrm>
          <a:off x="0" y="35975925"/>
          <a:ext cx="104775" cy="162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85725" cy="510"/>
    <xdr:sp macro="" textlink="">
      <xdr:nvSpPr>
        <xdr:cNvPr id="912" name="Text Box 9">
          <a:extLst>
            <a:ext uri="{FF2B5EF4-FFF2-40B4-BE49-F238E27FC236}">
              <a16:creationId xmlns:a16="http://schemas.microsoft.com/office/drawing/2014/main" xmlns="" id="{00000000-0008-0000-0B00-000089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85725" cy="510"/>
    <xdr:sp macro="" textlink="">
      <xdr:nvSpPr>
        <xdr:cNvPr id="913" name="Text Box 9">
          <a:extLst>
            <a:ext uri="{FF2B5EF4-FFF2-40B4-BE49-F238E27FC236}">
              <a16:creationId xmlns:a16="http://schemas.microsoft.com/office/drawing/2014/main" xmlns="" id="{00000000-0008-0000-0B00-00008A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4" name="Text Box 1">
          <a:extLst>
            <a:ext uri="{FF2B5EF4-FFF2-40B4-BE49-F238E27FC236}">
              <a16:creationId xmlns:a16="http://schemas.microsoft.com/office/drawing/2014/main" xmlns="" id="{00000000-0008-0000-0B00-00008B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5" name="Text Box 1">
          <a:extLst>
            <a:ext uri="{FF2B5EF4-FFF2-40B4-BE49-F238E27FC236}">
              <a16:creationId xmlns:a16="http://schemas.microsoft.com/office/drawing/2014/main" xmlns="" id="{00000000-0008-0000-0B00-00008C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6" name="Text Box 1">
          <a:extLst>
            <a:ext uri="{FF2B5EF4-FFF2-40B4-BE49-F238E27FC236}">
              <a16:creationId xmlns:a16="http://schemas.microsoft.com/office/drawing/2014/main" xmlns="" id="{00000000-0008-0000-0B00-00008D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7" name="Text Box 1">
          <a:extLst>
            <a:ext uri="{FF2B5EF4-FFF2-40B4-BE49-F238E27FC236}">
              <a16:creationId xmlns:a16="http://schemas.microsoft.com/office/drawing/2014/main" xmlns="" id="{00000000-0008-0000-0B00-00008E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8" name="Text Box 1">
          <a:extLst>
            <a:ext uri="{FF2B5EF4-FFF2-40B4-BE49-F238E27FC236}">
              <a16:creationId xmlns:a16="http://schemas.microsoft.com/office/drawing/2014/main" xmlns="" id="{00000000-0008-0000-0B00-00008F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19" name="Text Box 1">
          <a:extLst>
            <a:ext uri="{FF2B5EF4-FFF2-40B4-BE49-F238E27FC236}">
              <a16:creationId xmlns:a16="http://schemas.microsoft.com/office/drawing/2014/main" xmlns="" id="{00000000-0008-0000-0B00-000090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0" name="Text Box 1">
          <a:extLst>
            <a:ext uri="{FF2B5EF4-FFF2-40B4-BE49-F238E27FC236}">
              <a16:creationId xmlns:a16="http://schemas.microsoft.com/office/drawing/2014/main" xmlns="" id="{00000000-0008-0000-0B00-000091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1" name="Text Box 1">
          <a:extLst>
            <a:ext uri="{FF2B5EF4-FFF2-40B4-BE49-F238E27FC236}">
              <a16:creationId xmlns:a16="http://schemas.microsoft.com/office/drawing/2014/main" xmlns="" id="{00000000-0008-0000-0B00-000092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xmlns="" id="{00000000-0008-0000-0B00-000093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3" name="Text Box 1">
          <a:extLst>
            <a:ext uri="{FF2B5EF4-FFF2-40B4-BE49-F238E27FC236}">
              <a16:creationId xmlns:a16="http://schemas.microsoft.com/office/drawing/2014/main" xmlns="" id="{00000000-0008-0000-0B00-000094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4" name="Text Box 1">
          <a:extLst>
            <a:ext uri="{FF2B5EF4-FFF2-40B4-BE49-F238E27FC236}">
              <a16:creationId xmlns:a16="http://schemas.microsoft.com/office/drawing/2014/main" xmlns="" id="{00000000-0008-0000-0B00-000095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5" name="Text Box 1">
          <a:extLst>
            <a:ext uri="{FF2B5EF4-FFF2-40B4-BE49-F238E27FC236}">
              <a16:creationId xmlns:a16="http://schemas.microsoft.com/office/drawing/2014/main" xmlns="" id="{00000000-0008-0000-0B00-000096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6" name="Text Box 1">
          <a:extLst>
            <a:ext uri="{FF2B5EF4-FFF2-40B4-BE49-F238E27FC236}">
              <a16:creationId xmlns:a16="http://schemas.microsoft.com/office/drawing/2014/main" xmlns="" id="{00000000-0008-0000-0B00-000097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7" name="Text Box 1">
          <a:extLst>
            <a:ext uri="{FF2B5EF4-FFF2-40B4-BE49-F238E27FC236}">
              <a16:creationId xmlns:a16="http://schemas.microsoft.com/office/drawing/2014/main" xmlns="" id="{00000000-0008-0000-0B00-000098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8" name="Text Box 1">
          <a:extLst>
            <a:ext uri="{FF2B5EF4-FFF2-40B4-BE49-F238E27FC236}">
              <a16:creationId xmlns:a16="http://schemas.microsoft.com/office/drawing/2014/main" xmlns="" id="{00000000-0008-0000-0B00-000099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29" name="Text Box 1">
          <a:extLst>
            <a:ext uri="{FF2B5EF4-FFF2-40B4-BE49-F238E27FC236}">
              <a16:creationId xmlns:a16="http://schemas.microsoft.com/office/drawing/2014/main" xmlns="" id="{00000000-0008-0000-0B00-00009A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0" name="Text Box 1">
          <a:extLst>
            <a:ext uri="{FF2B5EF4-FFF2-40B4-BE49-F238E27FC236}">
              <a16:creationId xmlns:a16="http://schemas.microsoft.com/office/drawing/2014/main" xmlns="" id="{00000000-0008-0000-0B00-00009B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1" name="Text Box 1">
          <a:extLst>
            <a:ext uri="{FF2B5EF4-FFF2-40B4-BE49-F238E27FC236}">
              <a16:creationId xmlns:a16="http://schemas.microsoft.com/office/drawing/2014/main" xmlns="" id="{00000000-0008-0000-0B00-00009C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2" name="Text Box 1">
          <a:extLst>
            <a:ext uri="{FF2B5EF4-FFF2-40B4-BE49-F238E27FC236}">
              <a16:creationId xmlns:a16="http://schemas.microsoft.com/office/drawing/2014/main" xmlns="" id="{00000000-0008-0000-0B00-00009D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3" name="Text Box 1">
          <a:extLst>
            <a:ext uri="{FF2B5EF4-FFF2-40B4-BE49-F238E27FC236}">
              <a16:creationId xmlns:a16="http://schemas.microsoft.com/office/drawing/2014/main" xmlns="" id="{00000000-0008-0000-0B00-00009E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4" name="Text Box 1">
          <a:extLst>
            <a:ext uri="{FF2B5EF4-FFF2-40B4-BE49-F238E27FC236}">
              <a16:creationId xmlns:a16="http://schemas.microsoft.com/office/drawing/2014/main" xmlns="" id="{00000000-0008-0000-0B00-00009F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106</xdr:row>
      <xdr:rowOff>0</xdr:rowOff>
    </xdr:from>
    <xdr:ext cx="104775" cy="171450"/>
    <xdr:sp macro="" textlink="">
      <xdr:nvSpPr>
        <xdr:cNvPr id="935" name="Text Box 1">
          <a:extLst>
            <a:ext uri="{FF2B5EF4-FFF2-40B4-BE49-F238E27FC236}">
              <a16:creationId xmlns:a16="http://schemas.microsoft.com/office/drawing/2014/main" xmlns="" id="{00000000-0008-0000-0B00-0000A0010000}"/>
            </a:ext>
          </a:extLst>
        </xdr:cNvPr>
        <xdr:cNvSpPr txBox="1">
          <a:spLocks noChangeArrowheads="1"/>
        </xdr:cNvSpPr>
      </xdr:nvSpPr>
      <xdr:spPr bwMode="auto">
        <a:xfrm>
          <a:off x="0" y="3582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402"/>
  <sheetViews>
    <sheetView zoomScale="90" zoomScaleNormal="90" zoomScaleSheetLayoutView="85" workbookViewId="0">
      <pane xSplit="3" ySplit="8" topLeftCell="D425" activePane="bottomRight" state="frozen"/>
      <selection activeCell="J30" sqref="J30"/>
      <selection pane="topRight" activeCell="J30" sqref="J30"/>
      <selection pane="bottomLeft" activeCell="J30" sqref="J30"/>
      <selection pane="bottomRight" activeCell="E434" sqref="E434:E435"/>
    </sheetView>
  </sheetViews>
  <sheetFormatPr defaultColWidth="9.140625" defaultRowHeight="15" x14ac:dyDescent="0.25"/>
  <cols>
    <col min="1" max="1" width="2.28515625" style="131" hidden="1" customWidth="1"/>
    <col min="2" max="2" width="7.42578125" style="131" hidden="1" customWidth="1"/>
    <col min="3" max="3" width="45" style="131" customWidth="1"/>
    <col min="4" max="4" width="12" style="131" customWidth="1"/>
    <col min="5" max="5" width="14.28515625" style="142" customWidth="1"/>
    <col min="6" max="6" width="12.140625" style="131" customWidth="1"/>
    <col min="7" max="7" width="9.28515625" style="131" customWidth="1"/>
    <col min="8" max="8" width="15.28515625" style="131" customWidth="1"/>
    <col min="9" max="16384" width="9.140625" style="131"/>
  </cols>
  <sheetData>
    <row r="1" spans="1:8" ht="15.75" customHeight="1" x14ac:dyDescent="0.25">
      <c r="E1" s="132"/>
      <c r="F1" s="132"/>
      <c r="G1" s="776" t="s">
        <v>435</v>
      </c>
      <c r="H1" s="776"/>
    </row>
    <row r="2" spans="1:8" ht="30.75" customHeight="1" x14ac:dyDescent="0.25">
      <c r="E2" s="132"/>
      <c r="F2" s="777" t="s">
        <v>436</v>
      </c>
      <c r="G2" s="777"/>
      <c r="H2" s="777"/>
    </row>
    <row r="3" spans="1:8" s="3" customFormat="1" ht="15" customHeight="1" x14ac:dyDescent="0.25">
      <c r="C3" s="778" t="s">
        <v>337</v>
      </c>
      <c r="D3" s="779"/>
      <c r="E3" s="779"/>
      <c r="F3" s="779"/>
      <c r="G3" s="779"/>
      <c r="H3" s="779"/>
    </row>
    <row r="4" spans="1:8" s="3" customFormat="1" ht="31.5" customHeight="1" thickBot="1" x14ac:dyDescent="0.3">
      <c r="C4" s="779"/>
      <c r="D4" s="779"/>
      <c r="E4" s="779"/>
      <c r="F4" s="779"/>
      <c r="G4" s="779"/>
      <c r="H4" s="779"/>
    </row>
    <row r="5" spans="1:8" ht="21" customHeight="1" x14ac:dyDescent="0.3">
      <c r="C5" s="4" t="s">
        <v>109</v>
      </c>
      <c r="D5" s="783" t="s">
        <v>1</v>
      </c>
      <c r="E5" s="780" t="s">
        <v>296</v>
      </c>
      <c r="F5" s="789" t="s">
        <v>0</v>
      </c>
      <c r="G5" s="783" t="s">
        <v>2</v>
      </c>
      <c r="H5" s="786" t="s">
        <v>115</v>
      </c>
    </row>
    <row r="6" spans="1:8" ht="15.75" customHeight="1" x14ac:dyDescent="0.3">
      <c r="C6" s="5"/>
      <c r="D6" s="784"/>
      <c r="E6" s="781"/>
      <c r="F6" s="790"/>
      <c r="G6" s="784"/>
      <c r="H6" s="787"/>
    </row>
    <row r="7" spans="1:8" ht="54" customHeight="1" thickBot="1" x14ac:dyDescent="0.3">
      <c r="C7" s="6" t="s">
        <v>3</v>
      </c>
      <c r="D7" s="785"/>
      <c r="E7" s="782"/>
      <c r="F7" s="791"/>
      <c r="G7" s="785"/>
      <c r="H7" s="788"/>
    </row>
    <row r="8" spans="1:8" s="133" customFormat="1" ht="15.75" thickBot="1" x14ac:dyDescent="0.3">
      <c r="C8" s="7">
        <v>1</v>
      </c>
      <c r="D8" s="8">
        <v>2</v>
      </c>
      <c r="E8" s="134">
        <v>3</v>
      </c>
      <c r="F8" s="135">
        <v>4</v>
      </c>
      <c r="G8" s="135">
        <v>5</v>
      </c>
      <c r="H8" s="135">
        <v>6</v>
      </c>
    </row>
    <row r="9" spans="1:8" ht="35.25" hidden="1" customHeight="1" x14ac:dyDescent="0.25">
      <c r="A9" s="131">
        <v>1</v>
      </c>
      <c r="B9" s="136" t="s">
        <v>215</v>
      </c>
      <c r="C9" s="686" t="s">
        <v>430</v>
      </c>
      <c r="D9" s="9"/>
      <c r="E9" s="681"/>
      <c r="F9" s="682"/>
      <c r="G9" s="682"/>
      <c r="H9" s="682"/>
    </row>
    <row r="10" spans="1:8" hidden="1" x14ac:dyDescent="0.25">
      <c r="A10" s="131">
        <v>1</v>
      </c>
      <c r="C10" s="137" t="s">
        <v>4</v>
      </c>
      <c r="D10" s="138"/>
      <c r="E10" s="130"/>
      <c r="F10" s="10"/>
      <c r="G10" s="10"/>
      <c r="H10" s="10"/>
    </row>
    <row r="11" spans="1:8" hidden="1" x14ac:dyDescent="0.25">
      <c r="A11" s="131">
        <v>1</v>
      </c>
      <c r="C11" s="574" t="s">
        <v>32</v>
      </c>
      <c r="D11" s="139">
        <v>340</v>
      </c>
      <c r="E11" s="10">
        <v>1080</v>
      </c>
      <c r="F11" s="140">
        <v>11.2</v>
      </c>
      <c r="G11" s="2">
        <f t="shared" ref="G11:G37" si="0">ROUND(H11/D11,0)</f>
        <v>36</v>
      </c>
      <c r="H11" s="10">
        <f t="shared" ref="H11:H37" si="1">ROUND(E11*F11,0)</f>
        <v>12096</v>
      </c>
    </row>
    <row r="12" spans="1:8" hidden="1" x14ac:dyDescent="0.25">
      <c r="A12" s="131">
        <v>1</v>
      </c>
      <c r="C12" s="574" t="s">
        <v>57</v>
      </c>
      <c r="D12" s="139">
        <v>340</v>
      </c>
      <c r="E12" s="10">
        <v>171</v>
      </c>
      <c r="F12" s="140">
        <v>12.3</v>
      </c>
      <c r="G12" s="2">
        <f t="shared" si="0"/>
        <v>6</v>
      </c>
      <c r="H12" s="10">
        <f t="shared" si="1"/>
        <v>2103</v>
      </c>
    </row>
    <row r="13" spans="1:8" hidden="1" x14ac:dyDescent="0.25">
      <c r="A13" s="131">
        <v>1</v>
      </c>
      <c r="C13" s="574" t="s">
        <v>21</v>
      </c>
      <c r="D13" s="139">
        <v>340</v>
      </c>
      <c r="E13" s="10">
        <v>2131</v>
      </c>
      <c r="F13" s="140">
        <v>5.9</v>
      </c>
      <c r="G13" s="2">
        <f t="shared" si="0"/>
        <v>37</v>
      </c>
      <c r="H13" s="10">
        <f t="shared" si="1"/>
        <v>12573</v>
      </c>
    </row>
    <row r="14" spans="1:8" hidden="1" x14ac:dyDescent="0.25">
      <c r="C14" s="141" t="s">
        <v>25</v>
      </c>
      <c r="D14" s="139">
        <v>310</v>
      </c>
      <c r="E14" s="10">
        <v>0</v>
      </c>
      <c r="F14" s="140">
        <v>10</v>
      </c>
      <c r="G14" s="2">
        <f t="shared" si="0"/>
        <v>0</v>
      </c>
      <c r="H14" s="10">
        <f t="shared" si="1"/>
        <v>0</v>
      </c>
    </row>
    <row r="15" spans="1:8" hidden="1" x14ac:dyDescent="0.25">
      <c r="A15" s="131">
        <v>1</v>
      </c>
      <c r="C15" s="574" t="s">
        <v>20</v>
      </c>
      <c r="D15" s="139">
        <v>340</v>
      </c>
      <c r="E15" s="10">
        <v>1714</v>
      </c>
      <c r="F15" s="140">
        <v>12.5</v>
      </c>
      <c r="G15" s="2">
        <f t="shared" si="0"/>
        <v>63</v>
      </c>
      <c r="H15" s="10">
        <f t="shared" si="1"/>
        <v>21425</v>
      </c>
    </row>
    <row r="16" spans="1:8" hidden="1" x14ac:dyDescent="0.25">
      <c r="A16" s="131">
        <v>1</v>
      </c>
      <c r="C16" s="574" t="s">
        <v>59</v>
      </c>
      <c r="D16" s="139">
        <v>340</v>
      </c>
      <c r="E16" s="10">
        <v>350</v>
      </c>
      <c r="F16" s="140">
        <v>11.2</v>
      </c>
      <c r="G16" s="2">
        <f t="shared" si="0"/>
        <v>12</v>
      </c>
      <c r="H16" s="10">
        <f t="shared" si="1"/>
        <v>3920</v>
      </c>
    </row>
    <row r="17" spans="1:8" hidden="1" x14ac:dyDescent="0.25">
      <c r="A17" s="131">
        <v>1</v>
      </c>
      <c r="C17" s="574" t="s">
        <v>92</v>
      </c>
      <c r="D17" s="139">
        <v>340</v>
      </c>
      <c r="E17" s="10">
        <v>603</v>
      </c>
      <c r="F17" s="140">
        <v>20</v>
      </c>
      <c r="G17" s="2">
        <f t="shared" si="0"/>
        <v>35</v>
      </c>
      <c r="H17" s="10">
        <f t="shared" si="1"/>
        <v>12060</v>
      </c>
    </row>
    <row r="18" spans="1:8" hidden="1" x14ac:dyDescent="0.25">
      <c r="A18" s="131">
        <v>1</v>
      </c>
      <c r="C18" s="574" t="s">
        <v>55</v>
      </c>
      <c r="D18" s="139">
        <v>340</v>
      </c>
      <c r="E18" s="10">
        <v>1088</v>
      </c>
      <c r="F18" s="140">
        <v>12.7</v>
      </c>
      <c r="G18" s="2">
        <f t="shared" si="0"/>
        <v>41</v>
      </c>
      <c r="H18" s="10">
        <f t="shared" si="1"/>
        <v>13818</v>
      </c>
    </row>
    <row r="19" spans="1:8" hidden="1" x14ac:dyDescent="0.25">
      <c r="A19" s="131">
        <v>1</v>
      </c>
      <c r="C19" s="574" t="s">
        <v>61</v>
      </c>
      <c r="D19" s="139">
        <v>340</v>
      </c>
      <c r="E19" s="10">
        <v>554</v>
      </c>
      <c r="F19" s="140">
        <v>16.600000000000001</v>
      </c>
      <c r="G19" s="2">
        <f t="shared" si="0"/>
        <v>27</v>
      </c>
      <c r="H19" s="10">
        <f t="shared" si="1"/>
        <v>9196</v>
      </c>
    </row>
    <row r="20" spans="1:8" hidden="1" x14ac:dyDescent="0.25">
      <c r="A20" s="131">
        <v>1</v>
      </c>
      <c r="C20" s="574" t="s">
        <v>83</v>
      </c>
      <c r="D20" s="139">
        <v>340</v>
      </c>
      <c r="E20" s="10">
        <v>70</v>
      </c>
      <c r="F20" s="140">
        <v>10.199999999999999</v>
      </c>
      <c r="G20" s="2">
        <f t="shared" si="0"/>
        <v>2</v>
      </c>
      <c r="H20" s="10">
        <f t="shared" si="1"/>
        <v>714</v>
      </c>
    </row>
    <row r="21" spans="1:8" hidden="1" x14ac:dyDescent="0.25">
      <c r="A21" s="131">
        <v>1</v>
      </c>
      <c r="C21" s="574" t="s">
        <v>86</v>
      </c>
      <c r="D21" s="139">
        <v>340</v>
      </c>
      <c r="E21" s="10">
        <v>945</v>
      </c>
      <c r="F21" s="140">
        <v>14</v>
      </c>
      <c r="G21" s="2">
        <f t="shared" si="0"/>
        <v>39</v>
      </c>
      <c r="H21" s="10">
        <f t="shared" si="1"/>
        <v>13230</v>
      </c>
    </row>
    <row r="22" spans="1:8" hidden="1" x14ac:dyDescent="0.25">
      <c r="A22" s="131">
        <v>1</v>
      </c>
      <c r="C22" s="574" t="s">
        <v>78</v>
      </c>
      <c r="D22" s="139">
        <v>340</v>
      </c>
      <c r="E22" s="10">
        <v>120</v>
      </c>
      <c r="F22" s="140">
        <v>10.9</v>
      </c>
      <c r="G22" s="2">
        <f t="shared" si="0"/>
        <v>4</v>
      </c>
      <c r="H22" s="10">
        <f t="shared" si="1"/>
        <v>1308</v>
      </c>
    </row>
    <row r="23" spans="1:8" hidden="1" x14ac:dyDescent="0.25">
      <c r="A23" s="131">
        <v>1</v>
      </c>
      <c r="C23" s="574" t="s">
        <v>170</v>
      </c>
      <c r="D23" s="139">
        <v>340</v>
      </c>
      <c r="E23" s="10">
        <v>185</v>
      </c>
      <c r="F23" s="140">
        <v>13.5</v>
      </c>
      <c r="G23" s="2">
        <f t="shared" si="0"/>
        <v>7</v>
      </c>
      <c r="H23" s="10">
        <f t="shared" si="1"/>
        <v>2498</v>
      </c>
    </row>
    <row r="24" spans="1:8" hidden="1" x14ac:dyDescent="0.25">
      <c r="A24" s="131">
        <v>1</v>
      </c>
      <c r="C24" s="574" t="s">
        <v>85</v>
      </c>
      <c r="D24" s="139">
        <v>340</v>
      </c>
      <c r="E24" s="10">
        <v>84</v>
      </c>
      <c r="F24" s="140">
        <v>21</v>
      </c>
      <c r="G24" s="2">
        <f t="shared" si="0"/>
        <v>5</v>
      </c>
      <c r="H24" s="10">
        <f t="shared" si="1"/>
        <v>1764</v>
      </c>
    </row>
    <row r="25" spans="1:8" hidden="1" x14ac:dyDescent="0.25">
      <c r="A25" s="131">
        <v>1</v>
      </c>
      <c r="C25" s="574" t="s">
        <v>84</v>
      </c>
      <c r="D25" s="139">
        <v>340</v>
      </c>
      <c r="E25" s="10">
        <v>62</v>
      </c>
      <c r="F25" s="140">
        <v>12.5</v>
      </c>
      <c r="G25" s="2">
        <f t="shared" si="0"/>
        <v>2</v>
      </c>
      <c r="H25" s="10">
        <f t="shared" si="1"/>
        <v>775</v>
      </c>
    </row>
    <row r="26" spans="1:8" hidden="1" x14ac:dyDescent="0.25">
      <c r="A26" s="131">
        <v>1</v>
      </c>
      <c r="C26" s="574" t="s">
        <v>60</v>
      </c>
      <c r="D26" s="139">
        <v>340</v>
      </c>
      <c r="E26" s="10">
        <v>592</v>
      </c>
      <c r="F26" s="140">
        <v>13.5</v>
      </c>
      <c r="G26" s="2">
        <f t="shared" si="0"/>
        <v>24</v>
      </c>
      <c r="H26" s="10">
        <f t="shared" si="1"/>
        <v>7992</v>
      </c>
    </row>
    <row r="27" spans="1:8" hidden="1" x14ac:dyDescent="0.25">
      <c r="A27" s="131">
        <v>1</v>
      </c>
      <c r="C27" s="574" t="s">
        <v>8</v>
      </c>
      <c r="D27" s="139">
        <v>290</v>
      </c>
      <c r="E27" s="10">
        <f>3653-52</f>
        <v>3601</v>
      </c>
      <c r="F27" s="140">
        <v>7.3</v>
      </c>
      <c r="G27" s="2">
        <f t="shared" si="0"/>
        <v>91</v>
      </c>
      <c r="H27" s="10">
        <f t="shared" si="1"/>
        <v>26287</v>
      </c>
    </row>
    <row r="28" spans="1:8" hidden="1" x14ac:dyDescent="0.25">
      <c r="C28" s="574" t="s">
        <v>12</v>
      </c>
      <c r="D28" s="139">
        <v>340</v>
      </c>
      <c r="E28" s="10">
        <v>1009</v>
      </c>
      <c r="F28" s="140">
        <v>10.9</v>
      </c>
      <c r="G28" s="2">
        <f t="shared" si="0"/>
        <v>32</v>
      </c>
      <c r="H28" s="10">
        <f t="shared" ref="H28" si="2">ROUND(E28*F28,0)</f>
        <v>10998</v>
      </c>
    </row>
    <row r="29" spans="1:8" hidden="1" x14ac:dyDescent="0.25">
      <c r="A29" s="131">
        <v>1</v>
      </c>
      <c r="C29" s="574" t="s">
        <v>13</v>
      </c>
      <c r="D29" s="139">
        <v>340</v>
      </c>
      <c r="E29" s="10">
        <v>850</v>
      </c>
      <c r="F29" s="140">
        <v>12</v>
      </c>
      <c r="G29" s="2">
        <f t="shared" si="0"/>
        <v>30</v>
      </c>
      <c r="H29" s="10">
        <f t="shared" si="1"/>
        <v>10200</v>
      </c>
    </row>
    <row r="30" spans="1:8" ht="17.25" hidden="1" customHeight="1" x14ac:dyDescent="0.25">
      <c r="A30" s="131">
        <v>1</v>
      </c>
      <c r="C30" s="574" t="s">
        <v>42</v>
      </c>
      <c r="D30" s="139">
        <v>340</v>
      </c>
      <c r="E30" s="10">
        <v>930</v>
      </c>
      <c r="F30" s="140">
        <v>12</v>
      </c>
      <c r="G30" s="2">
        <f t="shared" si="0"/>
        <v>33</v>
      </c>
      <c r="H30" s="10">
        <f t="shared" si="1"/>
        <v>11160</v>
      </c>
    </row>
    <row r="31" spans="1:8" ht="17.25" hidden="1" customHeight="1" x14ac:dyDescent="0.25">
      <c r="A31" s="131">
        <v>1</v>
      </c>
      <c r="C31" s="574" t="s">
        <v>29</v>
      </c>
      <c r="D31" s="139">
        <v>340</v>
      </c>
      <c r="E31" s="10">
        <v>1142</v>
      </c>
      <c r="F31" s="140">
        <v>13</v>
      </c>
      <c r="G31" s="2">
        <f t="shared" si="0"/>
        <v>44</v>
      </c>
      <c r="H31" s="10">
        <f t="shared" si="1"/>
        <v>14846</v>
      </c>
    </row>
    <row r="32" spans="1:8" ht="17.25" hidden="1" customHeight="1" x14ac:dyDescent="0.25">
      <c r="A32" s="131">
        <v>1</v>
      </c>
      <c r="C32" s="574" t="s">
        <v>58</v>
      </c>
      <c r="D32" s="139">
        <v>340</v>
      </c>
      <c r="E32" s="10">
        <v>534</v>
      </c>
      <c r="F32" s="140">
        <v>15</v>
      </c>
      <c r="G32" s="2">
        <f t="shared" si="0"/>
        <v>24</v>
      </c>
      <c r="H32" s="10">
        <f t="shared" si="1"/>
        <v>8010</v>
      </c>
    </row>
    <row r="33" spans="1:8" ht="17.25" hidden="1" customHeight="1" x14ac:dyDescent="0.25">
      <c r="A33" s="131">
        <v>1</v>
      </c>
      <c r="C33" s="574" t="s">
        <v>56</v>
      </c>
      <c r="D33" s="139">
        <v>340</v>
      </c>
      <c r="E33" s="10">
        <v>516</v>
      </c>
      <c r="F33" s="140">
        <v>14.5</v>
      </c>
      <c r="G33" s="2">
        <f t="shared" si="0"/>
        <v>22</v>
      </c>
      <c r="H33" s="10">
        <f t="shared" si="1"/>
        <v>7482</v>
      </c>
    </row>
    <row r="34" spans="1:8" ht="17.25" hidden="1" customHeight="1" x14ac:dyDescent="0.25">
      <c r="A34" s="131">
        <v>1</v>
      </c>
      <c r="C34" s="574" t="s">
        <v>11</v>
      </c>
      <c r="D34" s="139">
        <v>340</v>
      </c>
      <c r="E34" s="10">
        <f>2130-3</f>
        <v>2127</v>
      </c>
      <c r="F34" s="140">
        <v>10.8</v>
      </c>
      <c r="G34" s="2">
        <f t="shared" si="0"/>
        <v>68</v>
      </c>
      <c r="H34" s="10">
        <f t="shared" si="1"/>
        <v>22972</v>
      </c>
    </row>
    <row r="35" spans="1:8" ht="17.25" hidden="1" customHeight="1" x14ac:dyDescent="0.25">
      <c r="A35" s="131">
        <v>1</v>
      </c>
      <c r="C35" s="574" t="s">
        <v>10</v>
      </c>
      <c r="D35" s="139">
        <v>340</v>
      </c>
      <c r="E35" s="10">
        <v>1509</v>
      </c>
      <c r="F35" s="687">
        <v>10.9</v>
      </c>
      <c r="G35" s="2">
        <f t="shared" si="0"/>
        <v>48</v>
      </c>
      <c r="H35" s="10">
        <f t="shared" si="1"/>
        <v>16448</v>
      </c>
    </row>
    <row r="36" spans="1:8" ht="17.25" hidden="1" customHeight="1" x14ac:dyDescent="0.25">
      <c r="A36" s="131">
        <v>1</v>
      </c>
      <c r="C36" s="574" t="s">
        <v>77</v>
      </c>
      <c r="D36" s="139">
        <v>290</v>
      </c>
      <c r="E36" s="10">
        <f>1858-34</f>
        <v>1824</v>
      </c>
      <c r="F36" s="140">
        <v>7.2</v>
      </c>
      <c r="G36" s="2">
        <f t="shared" si="0"/>
        <v>45</v>
      </c>
      <c r="H36" s="10">
        <f t="shared" si="1"/>
        <v>13133</v>
      </c>
    </row>
    <row r="37" spans="1:8" ht="17.25" hidden="1" customHeight="1" x14ac:dyDescent="0.25">
      <c r="A37" s="131">
        <v>1</v>
      </c>
      <c r="C37" s="574" t="s">
        <v>33</v>
      </c>
      <c r="D37" s="139">
        <v>340</v>
      </c>
      <c r="E37" s="10">
        <v>869</v>
      </c>
      <c r="F37" s="140">
        <v>10.3</v>
      </c>
      <c r="G37" s="2">
        <f t="shared" si="0"/>
        <v>26</v>
      </c>
      <c r="H37" s="10">
        <f t="shared" si="1"/>
        <v>8951</v>
      </c>
    </row>
    <row r="38" spans="1:8" s="145" customFormat="1" hidden="1" x14ac:dyDescent="0.25">
      <c r="A38" s="131">
        <v>1</v>
      </c>
      <c r="B38" s="131"/>
      <c r="C38" s="143" t="s">
        <v>5</v>
      </c>
      <c r="D38" s="144"/>
      <c r="E38" s="11">
        <f>SUM(E11:E37)</f>
        <v>24660</v>
      </c>
      <c r="F38" s="678">
        <f>H38/E38</f>
        <v>10.785036496350365</v>
      </c>
      <c r="G38" s="11">
        <f>SUM(G11:G37)</f>
        <v>803</v>
      </c>
      <c r="H38" s="11">
        <f>SUM(H11:H37)</f>
        <v>265959</v>
      </c>
    </row>
    <row r="39" spans="1:8" s="145" customFormat="1" hidden="1" x14ac:dyDescent="0.25">
      <c r="A39" s="131"/>
      <c r="B39" s="131"/>
      <c r="C39" s="143" t="s">
        <v>207</v>
      </c>
      <c r="D39" s="144"/>
      <c r="E39" s="11">
        <v>2349</v>
      </c>
      <c r="F39" s="678"/>
      <c r="G39" s="11"/>
      <c r="H39" s="11"/>
    </row>
    <row r="40" spans="1:8" s="145" customFormat="1" hidden="1" x14ac:dyDescent="0.25">
      <c r="A40" s="131">
        <v>1</v>
      </c>
      <c r="B40" s="131"/>
      <c r="C40" s="12" t="s">
        <v>98</v>
      </c>
      <c r="D40" s="13"/>
      <c r="E40" s="130"/>
      <c r="F40" s="10"/>
      <c r="G40" s="10"/>
      <c r="H40" s="10"/>
    </row>
    <row r="41" spans="1:8" s="145" customFormat="1" ht="43.5" hidden="1" x14ac:dyDescent="0.25">
      <c r="A41" s="131"/>
      <c r="B41" s="131"/>
      <c r="C41" s="14" t="s">
        <v>258</v>
      </c>
      <c r="D41" s="13"/>
      <c r="E41" s="146">
        <f>E43+E47+E48+E49+E50*5</f>
        <v>108095</v>
      </c>
      <c r="F41" s="10"/>
      <c r="G41" s="10"/>
      <c r="H41" s="10"/>
    </row>
    <row r="42" spans="1:8" s="145" customFormat="1" hidden="1" x14ac:dyDescent="0.25">
      <c r="A42" s="131"/>
      <c r="B42" s="131"/>
      <c r="C42" s="15" t="s">
        <v>252</v>
      </c>
      <c r="D42" s="13"/>
      <c r="E42" s="13"/>
      <c r="F42" s="10"/>
      <c r="G42" s="10"/>
      <c r="H42" s="10"/>
    </row>
    <row r="43" spans="1:8" s="145" customFormat="1" ht="30" hidden="1" x14ac:dyDescent="0.25">
      <c r="A43" s="131"/>
      <c r="B43" s="131"/>
      <c r="C43" s="16" t="s">
        <v>388</v>
      </c>
      <c r="D43" s="13"/>
      <c r="E43" s="130">
        <f>E44+E45/4+E46</f>
        <v>97471</v>
      </c>
      <c r="F43" s="10"/>
      <c r="G43" s="10"/>
      <c r="H43" s="10"/>
    </row>
    <row r="44" spans="1:8" s="145" customFormat="1" hidden="1" x14ac:dyDescent="0.25">
      <c r="A44" s="131"/>
      <c r="B44" s="131"/>
      <c r="C44" s="15" t="s">
        <v>389</v>
      </c>
      <c r="D44" s="13"/>
      <c r="E44" s="130">
        <v>94946</v>
      </c>
      <c r="F44" s="10"/>
      <c r="G44" s="10"/>
      <c r="H44" s="10"/>
    </row>
    <row r="45" spans="1:8" s="145" customFormat="1" ht="30" hidden="1" x14ac:dyDescent="0.25">
      <c r="A45" s="131"/>
      <c r="B45" s="131"/>
      <c r="C45" s="15" t="s">
        <v>390</v>
      </c>
      <c r="D45" s="17"/>
      <c r="E45" s="130">
        <v>2100</v>
      </c>
      <c r="F45" s="10"/>
      <c r="G45" s="10"/>
      <c r="H45" s="10"/>
    </row>
    <row r="46" spans="1:8" s="145" customFormat="1" ht="42" hidden="1" customHeight="1" x14ac:dyDescent="0.25">
      <c r="A46" s="131"/>
      <c r="B46" s="131"/>
      <c r="C46" s="15" t="s">
        <v>391</v>
      </c>
      <c r="D46" s="13"/>
      <c r="E46" s="130">
        <v>2000</v>
      </c>
      <c r="F46" s="10"/>
      <c r="G46" s="10"/>
      <c r="H46" s="10"/>
    </row>
    <row r="47" spans="1:8" s="145" customFormat="1" ht="60" hidden="1" x14ac:dyDescent="0.25">
      <c r="A47" s="131"/>
      <c r="B47" s="131"/>
      <c r="C47" s="15" t="s">
        <v>392</v>
      </c>
      <c r="D47" s="17"/>
      <c r="E47" s="130"/>
      <c r="F47" s="10"/>
      <c r="G47" s="10"/>
      <c r="H47" s="10"/>
    </row>
    <row r="48" spans="1:8" s="145" customFormat="1" ht="45" hidden="1" x14ac:dyDescent="0.25">
      <c r="A48" s="131"/>
      <c r="B48" s="131"/>
      <c r="C48" s="18" t="s">
        <v>393</v>
      </c>
      <c r="D48" s="17"/>
      <c r="E48" s="130">
        <v>8904</v>
      </c>
      <c r="F48" s="10"/>
      <c r="G48" s="10"/>
      <c r="H48" s="10"/>
    </row>
    <row r="49" spans="1:8" s="145" customFormat="1" ht="75" hidden="1" x14ac:dyDescent="0.25">
      <c r="A49" s="131"/>
      <c r="B49" s="131"/>
      <c r="C49" s="18" t="s">
        <v>394</v>
      </c>
      <c r="D49" s="17"/>
      <c r="E49" s="130">
        <v>1000</v>
      </c>
      <c r="F49" s="10"/>
      <c r="G49" s="10"/>
      <c r="H49" s="10"/>
    </row>
    <row r="50" spans="1:8" s="145" customFormat="1" ht="28.5" hidden="1" x14ac:dyDescent="0.25">
      <c r="A50" s="131"/>
      <c r="B50" s="131"/>
      <c r="C50" s="617" t="s">
        <v>422</v>
      </c>
      <c r="D50" s="13"/>
      <c r="E50" s="146">
        <f>E51+E52</f>
        <v>144</v>
      </c>
      <c r="F50" s="11"/>
      <c r="G50" s="11"/>
      <c r="H50" s="11"/>
    </row>
    <row r="51" spans="1:8" s="145" customFormat="1" ht="19.5" hidden="1" customHeight="1" x14ac:dyDescent="0.25">
      <c r="A51" s="131"/>
      <c r="B51" s="131"/>
      <c r="C51" s="18" t="s">
        <v>423</v>
      </c>
      <c r="D51" s="17"/>
      <c r="E51" s="130">
        <v>45</v>
      </c>
      <c r="F51" s="10"/>
      <c r="G51" s="10"/>
      <c r="H51" s="10"/>
    </row>
    <row r="52" spans="1:8" s="145" customFormat="1" ht="15.75" hidden="1" customHeight="1" x14ac:dyDescent="0.25">
      <c r="A52" s="131"/>
      <c r="B52" s="131"/>
      <c r="C52" s="18" t="s">
        <v>424</v>
      </c>
      <c r="D52" s="17"/>
      <c r="E52" s="130">
        <v>99</v>
      </c>
      <c r="F52" s="10"/>
      <c r="G52" s="10"/>
      <c r="H52" s="10"/>
    </row>
    <row r="53" spans="1:8" s="145" customFormat="1" ht="43.5" hidden="1" x14ac:dyDescent="0.25">
      <c r="A53" s="131"/>
      <c r="B53" s="131"/>
      <c r="C53" s="14" t="s">
        <v>260</v>
      </c>
      <c r="D53" s="13"/>
      <c r="E53" s="130">
        <f>E54</f>
        <v>95.744680851063819</v>
      </c>
      <c r="F53" s="10"/>
      <c r="G53" s="10"/>
      <c r="H53" s="10"/>
    </row>
    <row r="54" spans="1:8" s="145" customFormat="1" hidden="1" x14ac:dyDescent="0.25">
      <c r="A54" s="131"/>
      <c r="B54" s="131"/>
      <c r="C54" s="15" t="s">
        <v>255</v>
      </c>
      <c r="D54" s="13"/>
      <c r="E54" s="130">
        <f>E55/9.4</f>
        <v>95.744680851063819</v>
      </c>
      <c r="F54" s="10"/>
      <c r="G54" s="10"/>
      <c r="H54" s="10"/>
    </row>
    <row r="55" spans="1:8" s="145" customFormat="1" hidden="1" x14ac:dyDescent="0.25">
      <c r="A55" s="131"/>
      <c r="B55" s="131"/>
      <c r="C55" s="42" t="s">
        <v>261</v>
      </c>
      <c r="D55" s="13"/>
      <c r="E55" s="130">
        <v>900</v>
      </c>
      <c r="F55" s="10"/>
      <c r="G55" s="10"/>
      <c r="H55" s="10"/>
    </row>
    <row r="56" spans="1:8" s="145" customFormat="1" ht="29.25" hidden="1" x14ac:dyDescent="0.25">
      <c r="A56" s="131">
        <v>1</v>
      </c>
      <c r="B56" s="131"/>
      <c r="C56" s="14" t="s">
        <v>256</v>
      </c>
      <c r="D56" s="13"/>
      <c r="E56" s="130"/>
      <c r="F56" s="10"/>
      <c r="G56" s="10"/>
      <c r="H56" s="10"/>
    </row>
    <row r="57" spans="1:8" s="145" customFormat="1" ht="30" hidden="1" x14ac:dyDescent="0.25">
      <c r="A57" s="131">
        <v>1</v>
      </c>
      <c r="B57" s="131"/>
      <c r="C57" s="19" t="s">
        <v>117</v>
      </c>
      <c r="D57" s="13"/>
      <c r="E57" s="130"/>
      <c r="F57" s="10"/>
      <c r="G57" s="10"/>
      <c r="H57" s="10"/>
    </row>
    <row r="58" spans="1:8" s="145" customFormat="1" ht="57.75" hidden="1" x14ac:dyDescent="0.25">
      <c r="A58" s="131">
        <v>1</v>
      </c>
      <c r="B58" s="131"/>
      <c r="C58" s="14" t="s">
        <v>257</v>
      </c>
      <c r="D58" s="17"/>
      <c r="E58" s="130">
        <v>26500</v>
      </c>
      <c r="F58" s="10"/>
      <c r="G58" s="10"/>
      <c r="H58" s="10"/>
    </row>
    <row r="59" spans="1:8" s="145" customFormat="1" hidden="1" x14ac:dyDescent="0.25">
      <c r="A59" s="131">
        <v>1</v>
      </c>
      <c r="B59" s="131"/>
      <c r="C59" s="20" t="s">
        <v>165</v>
      </c>
      <c r="D59" s="13"/>
      <c r="E59" s="146">
        <f>SUM(E60:E94)</f>
        <v>168144</v>
      </c>
      <c r="F59" s="10"/>
      <c r="G59" s="10"/>
      <c r="H59" s="10"/>
    </row>
    <row r="60" spans="1:8" s="145" customFormat="1" ht="30" hidden="1" x14ac:dyDescent="0.25">
      <c r="A60" s="131"/>
      <c r="B60" s="131"/>
      <c r="C60" s="147" t="s">
        <v>174</v>
      </c>
      <c r="D60" s="13"/>
      <c r="E60" s="130">
        <v>55000</v>
      </c>
      <c r="F60" s="10"/>
      <c r="G60" s="10"/>
      <c r="H60" s="10"/>
    </row>
    <row r="61" spans="1:8" s="145" customFormat="1" ht="30" hidden="1" x14ac:dyDescent="0.25">
      <c r="A61" s="131"/>
      <c r="B61" s="131"/>
      <c r="C61" s="147" t="s">
        <v>125</v>
      </c>
      <c r="D61" s="13"/>
      <c r="E61" s="130">
        <v>3200</v>
      </c>
      <c r="F61" s="10"/>
      <c r="G61" s="10"/>
      <c r="H61" s="10"/>
    </row>
    <row r="62" spans="1:8" s="145" customFormat="1" hidden="1" x14ac:dyDescent="0.25">
      <c r="A62" s="131"/>
      <c r="B62" s="131"/>
      <c r="C62" s="147" t="s">
        <v>173</v>
      </c>
      <c r="D62" s="13"/>
      <c r="E62" s="130">
        <v>120</v>
      </c>
      <c r="F62" s="10"/>
      <c r="G62" s="10"/>
      <c r="H62" s="10"/>
    </row>
    <row r="63" spans="1:8" s="145" customFormat="1" ht="30" hidden="1" x14ac:dyDescent="0.25">
      <c r="A63" s="131"/>
      <c r="B63" s="131"/>
      <c r="C63" s="147" t="s">
        <v>289</v>
      </c>
      <c r="D63" s="13"/>
      <c r="E63" s="130">
        <v>100</v>
      </c>
      <c r="F63" s="10"/>
      <c r="G63" s="10"/>
      <c r="H63" s="10"/>
    </row>
    <row r="64" spans="1:8" s="145" customFormat="1" ht="45" hidden="1" x14ac:dyDescent="0.25">
      <c r="A64" s="131"/>
      <c r="B64" s="131"/>
      <c r="C64" s="147" t="s">
        <v>176</v>
      </c>
      <c r="D64" s="13"/>
      <c r="E64" s="130">
        <v>1000</v>
      </c>
      <c r="F64" s="10"/>
      <c r="G64" s="10"/>
      <c r="H64" s="10"/>
    </row>
    <row r="65" spans="1:8" s="145" customFormat="1" hidden="1" x14ac:dyDescent="0.25">
      <c r="A65" s="131"/>
      <c r="B65" s="131"/>
      <c r="C65" s="147" t="s">
        <v>16</v>
      </c>
      <c r="D65" s="13"/>
      <c r="E65" s="130">
        <v>1000</v>
      </c>
      <c r="F65" s="10"/>
      <c r="G65" s="10"/>
      <c r="H65" s="10"/>
    </row>
    <row r="66" spans="1:8" s="145" customFormat="1" ht="45" hidden="1" x14ac:dyDescent="0.25">
      <c r="A66" s="131"/>
      <c r="B66" s="131"/>
      <c r="C66" s="147" t="s">
        <v>330</v>
      </c>
      <c r="D66" s="13"/>
      <c r="E66" s="130">
        <v>100</v>
      </c>
      <c r="F66" s="10"/>
      <c r="G66" s="10"/>
      <c r="H66" s="10"/>
    </row>
    <row r="67" spans="1:8" s="145" customFormat="1" hidden="1" x14ac:dyDescent="0.25">
      <c r="A67" s="131"/>
      <c r="B67" s="131"/>
      <c r="C67" s="147" t="s">
        <v>175</v>
      </c>
      <c r="D67" s="13"/>
      <c r="E67" s="130">
        <v>2000</v>
      </c>
      <c r="F67" s="10"/>
      <c r="G67" s="10"/>
      <c r="H67" s="10"/>
    </row>
    <row r="68" spans="1:8" s="145" customFormat="1" hidden="1" x14ac:dyDescent="0.25">
      <c r="A68" s="131"/>
      <c r="B68" s="131"/>
      <c r="C68" s="147" t="s">
        <v>62</v>
      </c>
      <c r="D68" s="13"/>
      <c r="E68" s="130">
        <v>90</v>
      </c>
      <c r="F68" s="10"/>
      <c r="G68" s="10"/>
      <c r="H68" s="10"/>
    </row>
    <row r="69" spans="1:8" s="145" customFormat="1" hidden="1" x14ac:dyDescent="0.25">
      <c r="A69" s="131"/>
      <c r="B69" s="131"/>
      <c r="C69" s="147" t="s">
        <v>17</v>
      </c>
      <c r="D69" s="13"/>
      <c r="E69" s="130">
        <v>2500</v>
      </c>
      <c r="F69" s="10"/>
      <c r="G69" s="10"/>
      <c r="H69" s="10"/>
    </row>
    <row r="70" spans="1:8" s="145" customFormat="1" ht="30" hidden="1" x14ac:dyDescent="0.25">
      <c r="A70" s="131"/>
      <c r="B70" s="131"/>
      <c r="C70" s="147" t="s">
        <v>139</v>
      </c>
      <c r="D70" s="13"/>
      <c r="E70" s="130">
        <v>900</v>
      </c>
      <c r="F70" s="10"/>
      <c r="G70" s="10"/>
      <c r="H70" s="10"/>
    </row>
    <row r="71" spans="1:8" s="145" customFormat="1" hidden="1" x14ac:dyDescent="0.25">
      <c r="A71" s="131"/>
      <c r="B71" s="131"/>
      <c r="C71" s="147" t="s">
        <v>147</v>
      </c>
      <c r="D71" s="13"/>
      <c r="E71" s="130">
        <v>70000</v>
      </c>
      <c r="F71" s="10"/>
      <c r="G71" s="10"/>
      <c r="H71" s="10"/>
    </row>
    <row r="72" spans="1:8" s="145" customFormat="1" ht="31.5" hidden="1" customHeight="1" x14ac:dyDescent="0.25">
      <c r="A72" s="131"/>
      <c r="B72" s="131"/>
      <c r="C72" s="148" t="s">
        <v>202</v>
      </c>
      <c r="D72" s="13"/>
      <c r="E72" s="130">
        <v>500</v>
      </c>
      <c r="F72" s="10"/>
      <c r="G72" s="10"/>
      <c r="H72" s="10"/>
    </row>
    <row r="73" spans="1:8" s="145" customFormat="1" ht="31.5" hidden="1" customHeight="1" x14ac:dyDescent="0.25">
      <c r="A73" s="131"/>
      <c r="B73" s="131"/>
      <c r="C73" s="147" t="s">
        <v>211</v>
      </c>
      <c r="D73" s="13"/>
      <c r="E73" s="130">
        <v>300</v>
      </c>
      <c r="F73" s="10"/>
      <c r="G73" s="10"/>
      <c r="H73" s="10"/>
    </row>
    <row r="74" spans="1:8" s="145" customFormat="1" ht="60" hidden="1" x14ac:dyDescent="0.25">
      <c r="A74" s="131"/>
      <c r="B74" s="131"/>
      <c r="C74" s="147" t="s">
        <v>290</v>
      </c>
      <c r="D74" s="13"/>
      <c r="E74" s="130">
        <v>12</v>
      </c>
      <c r="F74" s="10"/>
      <c r="G74" s="10"/>
      <c r="H74" s="10"/>
    </row>
    <row r="75" spans="1:8" s="145" customFormat="1" ht="45" hidden="1" x14ac:dyDescent="0.25">
      <c r="A75" s="131"/>
      <c r="B75" s="131"/>
      <c r="C75" s="147" t="s">
        <v>291</v>
      </c>
      <c r="D75" s="13"/>
      <c r="E75" s="130">
        <v>12</v>
      </c>
      <c r="F75" s="10"/>
      <c r="G75" s="10"/>
      <c r="H75" s="10"/>
    </row>
    <row r="76" spans="1:8" s="145" customFormat="1" hidden="1" x14ac:dyDescent="0.25">
      <c r="A76" s="131"/>
      <c r="B76" s="131"/>
      <c r="C76" s="147" t="s">
        <v>416</v>
      </c>
      <c r="D76" s="13"/>
      <c r="E76" s="130">
        <v>3000</v>
      </c>
      <c r="F76" s="10"/>
      <c r="G76" s="10"/>
      <c r="H76" s="10"/>
    </row>
    <row r="77" spans="1:8" s="145" customFormat="1" ht="60" hidden="1" x14ac:dyDescent="0.25">
      <c r="A77" s="131"/>
      <c r="B77" s="131"/>
      <c r="C77" s="147" t="s">
        <v>246</v>
      </c>
      <c r="D77" s="13"/>
      <c r="E77" s="130">
        <v>50</v>
      </c>
      <c r="F77" s="10"/>
      <c r="G77" s="10"/>
      <c r="H77" s="10"/>
    </row>
    <row r="78" spans="1:8" s="145" customFormat="1" hidden="1" x14ac:dyDescent="0.25">
      <c r="A78" s="131"/>
      <c r="B78" s="131"/>
      <c r="C78" s="147" t="s">
        <v>123</v>
      </c>
      <c r="D78" s="13"/>
      <c r="E78" s="130">
        <v>200</v>
      </c>
      <c r="F78" s="10"/>
      <c r="G78" s="10"/>
      <c r="H78" s="10"/>
    </row>
    <row r="79" spans="1:8" s="145" customFormat="1" ht="75" hidden="1" x14ac:dyDescent="0.25">
      <c r="A79" s="131"/>
      <c r="B79" s="131"/>
      <c r="C79" s="147" t="s">
        <v>267</v>
      </c>
      <c r="D79" s="13"/>
      <c r="E79" s="130">
        <v>630</v>
      </c>
      <c r="F79" s="10"/>
      <c r="G79" s="10"/>
      <c r="H79" s="10"/>
    </row>
    <row r="80" spans="1:8" s="145" customFormat="1" hidden="1" x14ac:dyDescent="0.25">
      <c r="A80" s="131"/>
      <c r="B80" s="131"/>
      <c r="C80" s="147" t="s">
        <v>121</v>
      </c>
      <c r="D80" s="13"/>
      <c r="E80" s="130">
        <v>1500</v>
      </c>
      <c r="F80" s="10"/>
      <c r="G80" s="10"/>
      <c r="H80" s="10"/>
    </row>
    <row r="81" spans="1:8" s="145" customFormat="1" ht="22.5" hidden="1" customHeight="1" x14ac:dyDescent="0.25">
      <c r="A81" s="131"/>
      <c r="B81" s="131"/>
      <c r="C81" s="147" t="s">
        <v>142</v>
      </c>
      <c r="D81" s="13"/>
      <c r="E81" s="130">
        <v>20</v>
      </c>
      <c r="F81" s="10"/>
      <c r="G81" s="10"/>
      <c r="H81" s="10"/>
    </row>
    <row r="82" spans="1:8" s="145" customFormat="1" hidden="1" x14ac:dyDescent="0.25">
      <c r="A82" s="131"/>
      <c r="B82" s="131"/>
      <c r="C82" s="147" t="s">
        <v>50</v>
      </c>
      <c r="D82" s="13"/>
      <c r="E82" s="130">
        <v>4500</v>
      </c>
      <c r="F82" s="10"/>
      <c r="G82" s="10"/>
      <c r="H82" s="10"/>
    </row>
    <row r="83" spans="1:8" s="145" customFormat="1" ht="17.25" hidden="1" customHeight="1" x14ac:dyDescent="0.25">
      <c r="A83" s="131"/>
      <c r="B83" s="131"/>
      <c r="C83" s="147" t="s">
        <v>54</v>
      </c>
      <c r="D83" s="13"/>
      <c r="E83" s="130">
        <v>500</v>
      </c>
      <c r="F83" s="10"/>
      <c r="G83" s="10"/>
      <c r="H83" s="10"/>
    </row>
    <row r="84" spans="1:8" s="145" customFormat="1" ht="33" hidden="1" customHeight="1" x14ac:dyDescent="0.25">
      <c r="A84" s="131"/>
      <c r="B84" s="131"/>
      <c r="C84" s="147" t="s">
        <v>148</v>
      </c>
      <c r="D84" s="13"/>
      <c r="E84" s="130">
        <v>400</v>
      </c>
      <c r="F84" s="10"/>
      <c r="G84" s="10"/>
      <c r="H84" s="10"/>
    </row>
    <row r="85" spans="1:8" s="145" customFormat="1" ht="17.25" hidden="1" customHeight="1" x14ac:dyDescent="0.25">
      <c r="A85" s="131"/>
      <c r="B85" s="131"/>
      <c r="C85" s="147" t="s">
        <v>52</v>
      </c>
      <c r="D85" s="13"/>
      <c r="E85" s="130">
        <v>300</v>
      </c>
      <c r="F85" s="10"/>
      <c r="G85" s="10"/>
      <c r="H85" s="10"/>
    </row>
    <row r="86" spans="1:8" s="145" customFormat="1" hidden="1" x14ac:dyDescent="0.25">
      <c r="A86" s="131"/>
      <c r="B86" s="131"/>
      <c r="C86" s="147" t="s">
        <v>188</v>
      </c>
      <c r="D86" s="13"/>
      <c r="E86" s="130">
        <v>7000</v>
      </c>
      <c r="F86" s="10"/>
      <c r="G86" s="10"/>
      <c r="H86" s="10"/>
    </row>
    <row r="87" spans="1:8" s="145" customFormat="1" ht="36" hidden="1" customHeight="1" x14ac:dyDescent="0.25">
      <c r="A87" s="131"/>
      <c r="B87" s="131"/>
      <c r="C87" s="147" t="s">
        <v>200</v>
      </c>
      <c r="D87" s="13"/>
      <c r="E87" s="130">
        <v>1600</v>
      </c>
      <c r="F87" s="10"/>
      <c r="G87" s="10"/>
      <c r="H87" s="10"/>
    </row>
    <row r="88" spans="1:8" s="145" customFormat="1" ht="36" hidden="1" customHeight="1" x14ac:dyDescent="0.25">
      <c r="A88" s="131"/>
      <c r="B88" s="131"/>
      <c r="C88" s="147" t="s">
        <v>199</v>
      </c>
      <c r="D88" s="13"/>
      <c r="E88" s="130">
        <v>2000</v>
      </c>
      <c r="F88" s="10"/>
      <c r="G88" s="10"/>
      <c r="H88" s="10"/>
    </row>
    <row r="89" spans="1:8" s="145" customFormat="1" hidden="1" x14ac:dyDescent="0.25">
      <c r="A89" s="131"/>
      <c r="B89" s="131"/>
      <c r="C89" s="147" t="s">
        <v>15</v>
      </c>
      <c r="D89" s="13"/>
      <c r="E89" s="130">
        <v>380</v>
      </c>
      <c r="F89" s="10"/>
      <c r="G89" s="10"/>
      <c r="H89" s="10"/>
    </row>
    <row r="90" spans="1:8" s="145" customFormat="1" hidden="1" x14ac:dyDescent="0.25">
      <c r="A90" s="131"/>
      <c r="B90" s="131"/>
      <c r="C90" s="147" t="s">
        <v>118</v>
      </c>
      <c r="D90" s="13"/>
      <c r="E90" s="130">
        <v>250</v>
      </c>
      <c r="F90" s="10"/>
      <c r="G90" s="10"/>
      <c r="H90" s="10"/>
    </row>
    <row r="91" spans="1:8" s="145" customFormat="1" hidden="1" x14ac:dyDescent="0.25">
      <c r="A91" s="131"/>
      <c r="B91" s="131"/>
      <c r="C91" s="147" t="s">
        <v>51</v>
      </c>
      <c r="D91" s="13"/>
      <c r="E91" s="130">
        <v>4500</v>
      </c>
      <c r="F91" s="10"/>
      <c r="G91" s="10"/>
      <c r="H91" s="10"/>
    </row>
    <row r="92" spans="1:8" s="145" customFormat="1" hidden="1" x14ac:dyDescent="0.25">
      <c r="A92" s="131"/>
      <c r="B92" s="131"/>
      <c r="C92" s="147" t="s">
        <v>122</v>
      </c>
      <c r="D92" s="13"/>
      <c r="E92" s="130">
        <v>100</v>
      </c>
      <c r="F92" s="10"/>
      <c r="G92" s="10"/>
      <c r="H92" s="10"/>
    </row>
    <row r="93" spans="1:8" s="145" customFormat="1" hidden="1" x14ac:dyDescent="0.25">
      <c r="A93" s="131"/>
      <c r="B93" s="131"/>
      <c r="C93" s="147" t="s">
        <v>120</v>
      </c>
      <c r="D93" s="13"/>
      <c r="E93" s="130">
        <v>500</v>
      </c>
      <c r="F93" s="10"/>
      <c r="G93" s="10"/>
      <c r="H93" s="10"/>
    </row>
    <row r="94" spans="1:8" s="145" customFormat="1" hidden="1" x14ac:dyDescent="0.25">
      <c r="A94" s="131"/>
      <c r="B94" s="131"/>
      <c r="C94" s="147" t="s">
        <v>119</v>
      </c>
      <c r="D94" s="13"/>
      <c r="E94" s="130">
        <v>3880</v>
      </c>
      <c r="F94" s="10"/>
      <c r="G94" s="10"/>
      <c r="H94" s="10"/>
    </row>
    <row r="95" spans="1:8" s="145" customFormat="1" hidden="1" x14ac:dyDescent="0.25">
      <c r="A95" s="131">
        <v>1</v>
      </c>
      <c r="B95" s="131"/>
      <c r="C95" s="21" t="s">
        <v>195</v>
      </c>
      <c r="D95" s="13"/>
      <c r="E95" s="146">
        <f>E41</f>
        <v>108095</v>
      </c>
      <c r="F95" s="10"/>
      <c r="G95" s="10"/>
      <c r="H95" s="10"/>
    </row>
    <row r="96" spans="1:8" s="145" customFormat="1" hidden="1" x14ac:dyDescent="0.25">
      <c r="A96" s="131">
        <v>1</v>
      </c>
      <c r="B96" s="131"/>
      <c r="C96" s="21" t="s">
        <v>197</v>
      </c>
      <c r="D96" s="13"/>
      <c r="E96" s="146">
        <f>E53</f>
        <v>95.744680851063819</v>
      </c>
      <c r="F96" s="10"/>
      <c r="G96" s="10"/>
      <c r="H96" s="10"/>
    </row>
    <row r="97" spans="1:8" s="145" customFormat="1" ht="29.25" hidden="1" x14ac:dyDescent="0.25">
      <c r="A97" s="131">
        <v>1</v>
      </c>
      <c r="B97" s="131"/>
      <c r="C97" s="21" t="s">
        <v>198</v>
      </c>
      <c r="D97" s="13"/>
      <c r="E97" s="146">
        <f>E58</f>
        <v>26500</v>
      </c>
      <c r="F97" s="10"/>
      <c r="G97" s="10"/>
      <c r="H97" s="10"/>
    </row>
    <row r="98" spans="1:8" s="145" customFormat="1" hidden="1" x14ac:dyDescent="0.25">
      <c r="A98" s="131">
        <v>1</v>
      </c>
      <c r="B98" s="131"/>
      <c r="C98" s="22" t="s">
        <v>112</v>
      </c>
      <c r="D98" s="17"/>
      <c r="E98" s="146">
        <f>E95+E97+E55/4.2</f>
        <v>134809.28571428571</v>
      </c>
      <c r="F98" s="10"/>
      <c r="G98" s="10"/>
      <c r="H98" s="10"/>
    </row>
    <row r="99" spans="1:8" s="145" customFormat="1" ht="18.75" hidden="1" customHeight="1" x14ac:dyDescent="0.25">
      <c r="A99" s="131">
        <v>1</v>
      </c>
      <c r="B99" s="131"/>
      <c r="C99" s="23" t="s">
        <v>7</v>
      </c>
      <c r="D99" s="24"/>
      <c r="E99" s="130"/>
      <c r="F99" s="10"/>
      <c r="G99" s="10"/>
      <c r="H99" s="10"/>
    </row>
    <row r="100" spans="1:8" s="145" customFormat="1" ht="17.25" hidden="1" customHeight="1" x14ac:dyDescent="0.25">
      <c r="A100" s="131">
        <v>1</v>
      </c>
      <c r="B100" s="131"/>
      <c r="C100" s="149" t="s">
        <v>93</v>
      </c>
      <c r="D100" s="24"/>
      <c r="E100" s="130"/>
      <c r="F100" s="10"/>
      <c r="G100" s="10"/>
      <c r="H100" s="10"/>
    </row>
    <row r="101" spans="1:8" s="145" customFormat="1" hidden="1" x14ac:dyDescent="0.25">
      <c r="A101" s="131">
        <v>1</v>
      </c>
      <c r="B101" s="131"/>
      <c r="C101" s="1" t="s">
        <v>32</v>
      </c>
      <c r="D101" s="24">
        <v>340</v>
      </c>
      <c r="E101" s="10">
        <v>76</v>
      </c>
      <c r="F101" s="150">
        <v>10</v>
      </c>
      <c r="G101" s="2">
        <f t="shared" ref="G101:G112" si="3">ROUND(H101/D101,0)</f>
        <v>2</v>
      </c>
      <c r="H101" s="10">
        <f t="shared" ref="H101:H112" si="4">ROUND(E101*F101,0)</f>
        <v>760</v>
      </c>
    </row>
    <row r="102" spans="1:8" s="145" customFormat="1" hidden="1" x14ac:dyDescent="0.25">
      <c r="A102" s="131">
        <v>1</v>
      </c>
      <c r="B102" s="131"/>
      <c r="C102" s="1" t="s">
        <v>21</v>
      </c>
      <c r="D102" s="24">
        <v>340</v>
      </c>
      <c r="E102" s="10">
        <v>100</v>
      </c>
      <c r="F102" s="150">
        <v>3.1</v>
      </c>
      <c r="G102" s="2">
        <f t="shared" si="3"/>
        <v>1</v>
      </c>
      <c r="H102" s="10">
        <f t="shared" si="4"/>
        <v>310</v>
      </c>
    </row>
    <row r="103" spans="1:8" s="145" customFormat="1" hidden="1" x14ac:dyDescent="0.25">
      <c r="A103" s="131">
        <v>1</v>
      </c>
      <c r="B103" s="131"/>
      <c r="C103" s="1" t="s">
        <v>55</v>
      </c>
      <c r="D103" s="24">
        <v>340</v>
      </c>
      <c r="E103" s="10">
        <v>20</v>
      </c>
      <c r="F103" s="150">
        <v>12</v>
      </c>
      <c r="G103" s="2">
        <f t="shared" si="3"/>
        <v>1</v>
      </c>
      <c r="H103" s="10">
        <f t="shared" si="4"/>
        <v>240</v>
      </c>
    </row>
    <row r="104" spans="1:8" s="145" customFormat="1" hidden="1" x14ac:dyDescent="0.25">
      <c r="A104" s="131">
        <v>1</v>
      </c>
      <c r="B104" s="131"/>
      <c r="C104" s="1" t="s">
        <v>61</v>
      </c>
      <c r="D104" s="24">
        <v>340</v>
      </c>
      <c r="E104" s="10">
        <v>1320</v>
      </c>
      <c r="F104" s="150">
        <v>25.4</v>
      </c>
      <c r="G104" s="2">
        <f t="shared" si="3"/>
        <v>99</v>
      </c>
      <c r="H104" s="10">
        <f t="shared" si="4"/>
        <v>33528</v>
      </c>
    </row>
    <row r="105" spans="1:8" s="145" customFormat="1" hidden="1" x14ac:dyDescent="0.25">
      <c r="A105" s="131">
        <v>1</v>
      </c>
      <c r="B105" s="131"/>
      <c r="C105" s="1" t="s">
        <v>86</v>
      </c>
      <c r="D105" s="24">
        <v>340</v>
      </c>
      <c r="E105" s="10">
        <v>106</v>
      </c>
      <c r="F105" s="150">
        <v>10</v>
      </c>
      <c r="G105" s="2">
        <f t="shared" si="3"/>
        <v>3</v>
      </c>
      <c r="H105" s="10">
        <f t="shared" si="4"/>
        <v>1060</v>
      </c>
    </row>
    <row r="106" spans="1:8" s="145" customFormat="1" hidden="1" x14ac:dyDescent="0.25">
      <c r="A106" s="131"/>
      <c r="B106" s="131"/>
      <c r="C106" s="1" t="s">
        <v>12</v>
      </c>
      <c r="D106" s="24">
        <v>340</v>
      </c>
      <c r="E106" s="10">
        <v>127</v>
      </c>
      <c r="F106" s="540">
        <v>8</v>
      </c>
      <c r="G106" s="2">
        <f>ROUND(H106/D106,0)</f>
        <v>3</v>
      </c>
      <c r="H106" s="10">
        <f t="shared" si="4"/>
        <v>1016</v>
      </c>
    </row>
    <row r="107" spans="1:8" s="145" customFormat="1" hidden="1" x14ac:dyDescent="0.25">
      <c r="A107" s="131">
        <v>1</v>
      </c>
      <c r="B107" s="131"/>
      <c r="C107" s="1" t="s">
        <v>8</v>
      </c>
      <c r="D107" s="24">
        <v>290</v>
      </c>
      <c r="E107" s="10">
        <v>801</v>
      </c>
      <c r="F107" s="150">
        <v>7</v>
      </c>
      <c r="G107" s="2">
        <f t="shared" si="3"/>
        <v>19</v>
      </c>
      <c r="H107" s="10">
        <f t="shared" si="4"/>
        <v>5607</v>
      </c>
    </row>
    <row r="108" spans="1:8" s="145" customFormat="1" hidden="1" x14ac:dyDescent="0.25">
      <c r="A108" s="131">
        <v>1</v>
      </c>
      <c r="B108" s="131"/>
      <c r="C108" s="1" t="s">
        <v>42</v>
      </c>
      <c r="D108" s="24">
        <v>340</v>
      </c>
      <c r="E108" s="10">
        <v>117</v>
      </c>
      <c r="F108" s="540">
        <v>9.5</v>
      </c>
      <c r="G108" s="2">
        <f t="shared" si="3"/>
        <v>3</v>
      </c>
      <c r="H108" s="10">
        <f t="shared" si="4"/>
        <v>1112</v>
      </c>
    </row>
    <row r="109" spans="1:8" s="145" customFormat="1" hidden="1" x14ac:dyDescent="0.25">
      <c r="A109" s="131">
        <v>1</v>
      </c>
      <c r="B109" s="131"/>
      <c r="C109" s="1" t="s">
        <v>29</v>
      </c>
      <c r="D109" s="24">
        <v>340</v>
      </c>
      <c r="E109" s="10">
        <v>25</v>
      </c>
      <c r="F109" s="540">
        <v>11</v>
      </c>
      <c r="G109" s="2">
        <f t="shared" si="3"/>
        <v>1</v>
      </c>
      <c r="H109" s="10">
        <f t="shared" si="4"/>
        <v>275</v>
      </c>
    </row>
    <row r="110" spans="1:8" s="145" customFormat="1" hidden="1" x14ac:dyDescent="0.25">
      <c r="A110" s="131">
        <v>1</v>
      </c>
      <c r="B110" s="131"/>
      <c r="C110" s="1" t="s">
        <v>11</v>
      </c>
      <c r="D110" s="24">
        <v>340</v>
      </c>
      <c r="E110" s="10">
        <v>22</v>
      </c>
      <c r="F110" s="540">
        <v>9.8000000000000007</v>
      </c>
      <c r="G110" s="2">
        <f t="shared" si="3"/>
        <v>1</v>
      </c>
      <c r="H110" s="10">
        <f t="shared" si="4"/>
        <v>216</v>
      </c>
    </row>
    <row r="111" spans="1:8" s="145" customFormat="1" hidden="1" x14ac:dyDescent="0.25">
      <c r="A111" s="131">
        <v>1</v>
      </c>
      <c r="B111" s="131"/>
      <c r="C111" s="1" t="s">
        <v>33</v>
      </c>
      <c r="D111" s="24">
        <v>340</v>
      </c>
      <c r="E111" s="10">
        <v>40</v>
      </c>
      <c r="F111" s="540">
        <v>8.1999999999999993</v>
      </c>
      <c r="G111" s="2">
        <f t="shared" si="3"/>
        <v>1</v>
      </c>
      <c r="H111" s="10">
        <f t="shared" si="4"/>
        <v>328</v>
      </c>
    </row>
    <row r="112" spans="1:8" s="145" customFormat="1" hidden="1" x14ac:dyDescent="0.25">
      <c r="A112" s="131"/>
      <c r="B112" s="131"/>
      <c r="C112" s="574" t="s">
        <v>77</v>
      </c>
      <c r="D112" s="24">
        <v>255</v>
      </c>
      <c r="E112" s="10">
        <v>459</v>
      </c>
      <c r="F112" s="540">
        <v>7</v>
      </c>
      <c r="G112" s="2">
        <f t="shared" si="3"/>
        <v>13</v>
      </c>
      <c r="H112" s="10">
        <f t="shared" si="4"/>
        <v>3213</v>
      </c>
    </row>
    <row r="113" spans="1:8" s="152" customFormat="1" ht="17.25" hidden="1" customHeight="1" x14ac:dyDescent="0.25">
      <c r="A113" s="131">
        <v>1</v>
      </c>
      <c r="B113" s="131"/>
      <c r="C113" s="688" t="s">
        <v>9</v>
      </c>
      <c r="D113" s="689"/>
      <c r="E113" s="690">
        <f>SUM(E101:E112)</f>
        <v>3213</v>
      </c>
      <c r="F113" s="151">
        <f>H113/E113</f>
        <v>14.835045129162776</v>
      </c>
      <c r="G113" s="691">
        <f>SUM(G101:G112)</f>
        <v>147</v>
      </c>
      <c r="H113" s="691">
        <f>SUM(H101:H112)</f>
        <v>47665</v>
      </c>
    </row>
    <row r="114" spans="1:8" s="145" customFormat="1" ht="18" hidden="1" customHeight="1" x14ac:dyDescent="0.25">
      <c r="A114" s="131">
        <v>1</v>
      </c>
      <c r="B114" s="131"/>
      <c r="C114" s="149" t="s">
        <v>71</v>
      </c>
      <c r="D114" s="24"/>
      <c r="E114" s="130"/>
      <c r="F114" s="540"/>
      <c r="G114" s="2"/>
      <c r="H114" s="10"/>
    </row>
    <row r="115" spans="1:8" s="145" customFormat="1" hidden="1" x14ac:dyDescent="0.25">
      <c r="A115" s="131">
        <v>1</v>
      </c>
      <c r="B115" s="131"/>
      <c r="C115" s="25" t="s">
        <v>57</v>
      </c>
      <c r="D115" s="24">
        <v>240</v>
      </c>
      <c r="E115" s="10">
        <v>21</v>
      </c>
      <c r="F115" s="540">
        <v>10</v>
      </c>
      <c r="G115" s="2">
        <f>ROUND(H115/D115,0)</f>
        <v>1</v>
      </c>
      <c r="H115" s="10">
        <f>ROUND(E115*F115,0)</f>
        <v>210</v>
      </c>
    </row>
    <row r="116" spans="1:8" s="145" customFormat="1" hidden="1" x14ac:dyDescent="0.25">
      <c r="A116" s="131">
        <v>1</v>
      </c>
      <c r="B116" s="131"/>
      <c r="C116" s="25" t="s">
        <v>86</v>
      </c>
      <c r="D116" s="24">
        <v>240</v>
      </c>
      <c r="E116" s="10">
        <v>416</v>
      </c>
      <c r="F116" s="540">
        <v>10</v>
      </c>
      <c r="G116" s="2">
        <f>ROUND(H116/D116,0)</f>
        <v>17</v>
      </c>
      <c r="H116" s="10">
        <f>ROUND(E116*F116,0)</f>
        <v>4160</v>
      </c>
    </row>
    <row r="117" spans="1:8" s="145" customFormat="1" ht="18" hidden="1" customHeight="1" x14ac:dyDescent="0.25">
      <c r="A117" s="131">
        <v>1</v>
      </c>
      <c r="B117" s="131"/>
      <c r="C117" s="25" t="s">
        <v>35</v>
      </c>
      <c r="D117" s="153">
        <v>240</v>
      </c>
      <c r="E117" s="10">
        <v>204</v>
      </c>
      <c r="F117" s="540">
        <v>8.5</v>
      </c>
      <c r="G117" s="2">
        <f>ROUND(H117/D117,0)</f>
        <v>7</v>
      </c>
      <c r="H117" s="10">
        <f>ROUND(E117*F117,0)</f>
        <v>1734</v>
      </c>
    </row>
    <row r="118" spans="1:8" s="145" customFormat="1" ht="18" hidden="1" customHeight="1" x14ac:dyDescent="0.25">
      <c r="A118" s="131">
        <v>1</v>
      </c>
      <c r="B118" s="131"/>
      <c r="C118" s="154" t="s">
        <v>94</v>
      </c>
      <c r="D118" s="153"/>
      <c r="E118" s="155">
        <f>SUM(E115:E117)</f>
        <v>641</v>
      </c>
      <c r="F118" s="151">
        <f>H118/E118</f>
        <v>9.5226209048361934</v>
      </c>
      <c r="G118" s="156">
        <f>SUM(G115:G117)</f>
        <v>25</v>
      </c>
      <c r="H118" s="156">
        <f>SUM(H115:H117)</f>
        <v>6104</v>
      </c>
    </row>
    <row r="119" spans="1:8" ht="21" hidden="1" customHeight="1" x14ac:dyDescent="0.25">
      <c r="A119" s="131">
        <v>1</v>
      </c>
      <c r="C119" s="26" t="s">
        <v>88</v>
      </c>
      <c r="D119" s="157"/>
      <c r="E119" s="146">
        <f>E113+E118</f>
        <v>3854</v>
      </c>
      <c r="F119" s="151">
        <f>H119/E119</f>
        <v>13.951478982874935</v>
      </c>
      <c r="G119" s="11">
        <f>G113+G118</f>
        <v>172</v>
      </c>
      <c r="H119" s="11">
        <f>H113+H118</f>
        <v>53769</v>
      </c>
    </row>
    <row r="120" spans="1:8" ht="15.75" hidden="1" x14ac:dyDescent="0.25">
      <c r="C120" s="26"/>
      <c r="D120" s="157"/>
      <c r="E120" s="146"/>
      <c r="F120" s="151"/>
      <c r="G120" s="11"/>
      <c r="H120" s="11"/>
    </row>
    <row r="121" spans="1:8" ht="30" hidden="1" x14ac:dyDescent="0.25">
      <c r="C121" s="25" t="s">
        <v>276</v>
      </c>
      <c r="D121" s="157"/>
      <c r="E121" s="130"/>
      <c r="F121" s="151"/>
      <c r="G121" s="11"/>
      <c r="H121" s="11"/>
    </row>
    <row r="122" spans="1:8" ht="30" hidden="1" x14ac:dyDescent="0.25">
      <c r="C122" s="25" t="s">
        <v>277</v>
      </c>
      <c r="D122" s="157"/>
      <c r="E122" s="130"/>
      <c r="F122" s="151"/>
      <c r="G122" s="11"/>
      <c r="H122" s="11"/>
    </row>
    <row r="123" spans="1:8" ht="30" hidden="1" x14ac:dyDescent="0.25">
      <c r="C123" s="25" t="s">
        <v>278</v>
      </c>
      <c r="D123" s="157"/>
      <c r="E123" s="130"/>
      <c r="F123" s="151"/>
      <c r="G123" s="11"/>
      <c r="H123" s="11"/>
    </row>
    <row r="124" spans="1:8" ht="75" hidden="1" x14ac:dyDescent="0.25">
      <c r="C124" s="25" t="s">
        <v>249</v>
      </c>
      <c r="D124" s="157"/>
      <c r="E124" s="130"/>
      <c r="F124" s="151"/>
      <c r="G124" s="11"/>
      <c r="H124" s="11"/>
    </row>
    <row r="125" spans="1:8" ht="32.25" hidden="1" customHeight="1" x14ac:dyDescent="0.25">
      <c r="C125" s="129" t="s">
        <v>266</v>
      </c>
      <c r="D125" s="157"/>
      <c r="E125" s="146">
        <f>SUM(E121:E123)</f>
        <v>0</v>
      </c>
      <c r="F125" s="151"/>
      <c r="G125" s="11"/>
      <c r="H125" s="11"/>
    </row>
    <row r="126" spans="1:8" ht="31.5" hidden="1" customHeight="1" x14ac:dyDescent="0.25">
      <c r="A126" s="131">
        <v>1</v>
      </c>
      <c r="C126" s="27" t="s">
        <v>103</v>
      </c>
      <c r="D126" s="157"/>
      <c r="E126" s="692">
        <v>1700</v>
      </c>
      <c r="F126" s="158"/>
      <c r="G126" s="11"/>
      <c r="H126" s="11"/>
    </row>
    <row r="127" spans="1:8" ht="30" hidden="1" customHeight="1" x14ac:dyDescent="0.25">
      <c r="A127" s="131">
        <v>1</v>
      </c>
      <c r="C127" s="27" t="s">
        <v>104</v>
      </c>
      <c r="D127" s="157"/>
      <c r="E127" s="692">
        <v>15460</v>
      </c>
      <c r="F127" s="158"/>
      <c r="G127" s="11"/>
      <c r="H127" s="11"/>
    </row>
    <row r="128" spans="1:8" ht="15.75" hidden="1" x14ac:dyDescent="0.25">
      <c r="A128" s="131">
        <v>1</v>
      </c>
      <c r="C128" s="27" t="s">
        <v>114</v>
      </c>
      <c r="D128" s="157"/>
      <c r="E128" s="692">
        <v>10</v>
      </c>
      <c r="F128" s="158"/>
      <c r="G128" s="11"/>
      <c r="H128" s="11"/>
    </row>
    <row r="129" spans="1:8" ht="18" hidden="1" customHeight="1" x14ac:dyDescent="0.25">
      <c r="C129" s="27" t="s">
        <v>187</v>
      </c>
      <c r="D129" s="157"/>
      <c r="E129" s="692">
        <v>100</v>
      </c>
      <c r="F129" s="158"/>
      <c r="G129" s="11"/>
      <c r="H129" s="11"/>
    </row>
    <row r="130" spans="1:8" ht="47.25" hidden="1" x14ac:dyDescent="0.25">
      <c r="A130" s="131">
        <v>1</v>
      </c>
      <c r="C130" s="27" t="s">
        <v>169</v>
      </c>
      <c r="D130" s="157"/>
      <c r="E130" s="692">
        <v>7300</v>
      </c>
      <c r="F130" s="692"/>
      <c r="G130" s="692"/>
      <c r="H130" s="692"/>
    </row>
    <row r="131" spans="1:8" ht="18" hidden="1" customHeight="1" x14ac:dyDescent="0.25">
      <c r="A131" s="131">
        <v>1</v>
      </c>
      <c r="C131" s="693" t="s">
        <v>96</v>
      </c>
      <c r="D131" s="159"/>
      <c r="E131" s="160">
        <v>9125</v>
      </c>
      <c r="F131" s="161"/>
      <c r="G131" s="28"/>
      <c r="H131" s="28"/>
    </row>
    <row r="132" spans="1:8" ht="31.5" hidden="1" x14ac:dyDescent="0.25">
      <c r="C132" s="27" t="s">
        <v>298</v>
      </c>
      <c r="D132" s="159"/>
      <c r="E132" s="692">
        <v>100</v>
      </c>
      <c r="F132" s="158"/>
      <c r="G132" s="11"/>
      <c r="H132" s="11"/>
    </row>
    <row r="133" spans="1:8" ht="21" hidden="1" customHeight="1" thickBot="1" x14ac:dyDescent="0.3">
      <c r="C133" s="162" t="s">
        <v>166</v>
      </c>
      <c r="D133" s="163"/>
      <c r="E133" s="164">
        <f>SUM(E126:E132)</f>
        <v>33795</v>
      </c>
      <c r="F133" s="165"/>
      <c r="G133" s="166"/>
      <c r="H133" s="167"/>
    </row>
    <row r="134" spans="1:8" s="173" customFormat="1" ht="19.5" hidden="1" customHeight="1" thickBot="1" x14ac:dyDescent="0.3">
      <c r="A134" s="131">
        <v>1</v>
      </c>
      <c r="B134" s="131"/>
      <c r="C134" s="168" t="s">
        <v>213</v>
      </c>
      <c r="D134" s="169"/>
      <c r="E134" s="170"/>
      <c r="F134" s="171"/>
      <c r="G134" s="172"/>
      <c r="H134" s="171"/>
    </row>
    <row r="135" spans="1:8" hidden="1" x14ac:dyDescent="0.25">
      <c r="A135" s="131">
        <v>1</v>
      </c>
      <c r="C135" s="174"/>
      <c r="D135" s="175"/>
      <c r="E135" s="130"/>
      <c r="F135" s="10"/>
      <c r="G135" s="10"/>
      <c r="H135" s="10"/>
    </row>
    <row r="136" spans="1:8" ht="43.5" hidden="1" x14ac:dyDescent="0.25">
      <c r="A136" s="131">
        <v>1</v>
      </c>
      <c r="B136" s="136" t="s">
        <v>216</v>
      </c>
      <c r="C136" s="686" t="s">
        <v>305</v>
      </c>
      <c r="D136" s="139"/>
      <c r="E136" s="130"/>
      <c r="F136" s="10"/>
      <c r="G136" s="10"/>
      <c r="H136" s="10"/>
    </row>
    <row r="137" spans="1:8" ht="18" hidden="1" customHeight="1" x14ac:dyDescent="0.25">
      <c r="A137" s="131">
        <v>1</v>
      </c>
      <c r="B137" s="136" t="s">
        <v>216</v>
      </c>
      <c r="C137" s="137" t="s">
        <v>4</v>
      </c>
      <c r="D137" s="139"/>
      <c r="E137" s="130"/>
      <c r="F137" s="10"/>
      <c r="G137" s="10"/>
      <c r="H137" s="10"/>
    </row>
    <row r="138" spans="1:8" ht="12.75" hidden="1" customHeight="1" x14ac:dyDescent="0.25">
      <c r="A138" s="131">
        <v>1</v>
      </c>
      <c r="B138" s="136" t="s">
        <v>216</v>
      </c>
      <c r="C138" s="141" t="s">
        <v>25</v>
      </c>
      <c r="D138" s="139">
        <v>310</v>
      </c>
      <c r="E138" s="10"/>
      <c r="F138" s="140">
        <v>14</v>
      </c>
      <c r="G138" s="2">
        <f t="shared" ref="G138:G140" si="5">ROUND(H138/D138,0)</f>
        <v>0</v>
      </c>
      <c r="H138" s="10">
        <f t="shared" ref="H138:H148" si="6">ROUND(E138*F138,0)</f>
        <v>0</v>
      </c>
    </row>
    <row r="139" spans="1:8" hidden="1" x14ac:dyDescent="0.25">
      <c r="A139" s="131">
        <v>1</v>
      </c>
      <c r="B139" s="136" t="s">
        <v>216</v>
      </c>
      <c r="C139" s="141" t="s">
        <v>20</v>
      </c>
      <c r="D139" s="139">
        <v>340</v>
      </c>
      <c r="E139" s="10">
        <v>1960</v>
      </c>
      <c r="F139" s="150">
        <v>8.3000000000000007</v>
      </c>
      <c r="G139" s="2">
        <f t="shared" si="5"/>
        <v>48</v>
      </c>
      <c r="H139" s="10">
        <f t="shared" si="6"/>
        <v>16268</v>
      </c>
    </row>
    <row r="140" spans="1:8" ht="30" hidden="1" x14ac:dyDescent="0.25">
      <c r="A140" s="131">
        <v>1</v>
      </c>
      <c r="B140" s="136" t="s">
        <v>216</v>
      </c>
      <c r="C140" s="176" t="s">
        <v>87</v>
      </c>
      <c r="D140" s="139">
        <v>340</v>
      </c>
      <c r="E140" s="10">
        <v>1695</v>
      </c>
      <c r="F140" s="150">
        <v>8</v>
      </c>
      <c r="G140" s="2">
        <f t="shared" si="5"/>
        <v>40</v>
      </c>
      <c r="H140" s="10">
        <f t="shared" si="6"/>
        <v>13560</v>
      </c>
    </row>
    <row r="141" spans="1:8" hidden="1" x14ac:dyDescent="0.25">
      <c r="B141" s="136"/>
      <c r="C141" s="176" t="s">
        <v>92</v>
      </c>
      <c r="D141" s="139">
        <v>340</v>
      </c>
      <c r="E141" s="10">
        <v>250</v>
      </c>
      <c r="F141" s="150">
        <v>16.5</v>
      </c>
      <c r="G141" s="2">
        <f>ROUND(H141/D141,0)</f>
        <v>12</v>
      </c>
      <c r="H141" s="10">
        <f>ROUND(E141*F141,0)</f>
        <v>4125</v>
      </c>
    </row>
    <row r="142" spans="1:8" hidden="1" x14ac:dyDescent="0.25">
      <c r="A142" s="131">
        <v>1</v>
      </c>
      <c r="B142" s="136" t="s">
        <v>216</v>
      </c>
      <c r="C142" s="141" t="s">
        <v>55</v>
      </c>
      <c r="D142" s="139">
        <v>340</v>
      </c>
      <c r="E142" s="10">
        <v>4216</v>
      </c>
      <c r="F142" s="140">
        <v>10</v>
      </c>
      <c r="G142" s="2">
        <f t="shared" ref="G142:G148" si="7">ROUND(H142/D142,0)</f>
        <v>124</v>
      </c>
      <c r="H142" s="10">
        <f>ROUND(E142*F142,0)</f>
        <v>42160</v>
      </c>
    </row>
    <row r="143" spans="1:8" hidden="1" x14ac:dyDescent="0.25">
      <c r="B143" s="136"/>
      <c r="C143" s="141" t="s">
        <v>63</v>
      </c>
      <c r="D143" s="139">
        <v>340</v>
      </c>
      <c r="E143" s="10">
        <v>1747</v>
      </c>
      <c r="F143" s="140">
        <v>11</v>
      </c>
      <c r="G143" s="2">
        <f t="shared" si="7"/>
        <v>57</v>
      </c>
      <c r="H143" s="10">
        <f t="shared" si="6"/>
        <v>19217</v>
      </c>
    </row>
    <row r="144" spans="1:8" hidden="1" x14ac:dyDescent="0.25">
      <c r="A144" s="131">
        <v>1</v>
      </c>
      <c r="B144" s="136" t="s">
        <v>216</v>
      </c>
      <c r="C144" s="141" t="s">
        <v>64</v>
      </c>
      <c r="D144" s="139">
        <v>340</v>
      </c>
      <c r="E144" s="10">
        <v>358</v>
      </c>
      <c r="F144" s="140">
        <v>22</v>
      </c>
      <c r="G144" s="2">
        <f t="shared" si="7"/>
        <v>23</v>
      </c>
      <c r="H144" s="10">
        <f t="shared" si="6"/>
        <v>7876</v>
      </c>
    </row>
    <row r="145" spans="1:8" hidden="1" x14ac:dyDescent="0.25">
      <c r="A145" s="131">
        <v>1</v>
      </c>
      <c r="B145" s="136" t="s">
        <v>216</v>
      </c>
      <c r="C145" s="141" t="s">
        <v>171</v>
      </c>
      <c r="D145" s="139">
        <v>340</v>
      </c>
      <c r="E145" s="10">
        <v>227</v>
      </c>
      <c r="F145" s="140">
        <v>10.4</v>
      </c>
      <c r="G145" s="2">
        <f t="shared" si="7"/>
        <v>7</v>
      </c>
      <c r="H145" s="10">
        <f t="shared" si="6"/>
        <v>2361</v>
      </c>
    </row>
    <row r="146" spans="1:8" hidden="1" x14ac:dyDescent="0.25">
      <c r="A146" s="131">
        <v>1</v>
      </c>
      <c r="B146" s="136" t="s">
        <v>216</v>
      </c>
      <c r="C146" s="141" t="s">
        <v>60</v>
      </c>
      <c r="D146" s="139">
        <v>340</v>
      </c>
      <c r="E146" s="10">
        <v>1890</v>
      </c>
      <c r="F146" s="140">
        <v>10.199999999999999</v>
      </c>
      <c r="G146" s="2">
        <f t="shared" si="7"/>
        <v>57</v>
      </c>
      <c r="H146" s="10">
        <f t="shared" si="6"/>
        <v>19278</v>
      </c>
    </row>
    <row r="147" spans="1:8" hidden="1" x14ac:dyDescent="0.25">
      <c r="A147" s="131">
        <v>1</v>
      </c>
      <c r="B147" s="136" t="s">
        <v>216</v>
      </c>
      <c r="C147" s="141" t="s">
        <v>56</v>
      </c>
      <c r="D147" s="139">
        <v>340</v>
      </c>
      <c r="E147" s="10">
        <v>3233</v>
      </c>
      <c r="F147" s="140">
        <v>9</v>
      </c>
      <c r="G147" s="2">
        <f t="shared" si="7"/>
        <v>86</v>
      </c>
      <c r="H147" s="10">
        <f>ROUND(E147*F147,0)</f>
        <v>29097</v>
      </c>
    </row>
    <row r="148" spans="1:8" hidden="1" x14ac:dyDescent="0.25">
      <c r="A148" s="131">
        <v>1</v>
      </c>
      <c r="B148" s="136" t="s">
        <v>216</v>
      </c>
      <c r="C148" s="141" t="s">
        <v>10</v>
      </c>
      <c r="D148" s="139">
        <v>340</v>
      </c>
      <c r="E148" s="10">
        <v>1218</v>
      </c>
      <c r="F148" s="177">
        <v>9</v>
      </c>
      <c r="G148" s="2">
        <f t="shared" si="7"/>
        <v>32</v>
      </c>
      <c r="H148" s="10">
        <f t="shared" si="6"/>
        <v>10962</v>
      </c>
    </row>
    <row r="149" spans="1:8" s="145" customFormat="1" ht="16.5" hidden="1" customHeight="1" x14ac:dyDescent="0.25">
      <c r="A149" s="131">
        <v>1</v>
      </c>
      <c r="B149" s="136" t="s">
        <v>216</v>
      </c>
      <c r="C149" s="143" t="s">
        <v>5</v>
      </c>
      <c r="D149" s="139"/>
      <c r="E149" s="178">
        <f>SUM(E139:E148)</f>
        <v>16794</v>
      </c>
      <c r="F149" s="158">
        <f>H149/E149</f>
        <v>9.8192211504108613</v>
      </c>
      <c r="G149" s="29">
        <f>SUM(G138:G148)</f>
        <v>486</v>
      </c>
      <c r="H149" s="11">
        <f>SUM(H138:H148)</f>
        <v>164904</v>
      </c>
    </row>
    <row r="150" spans="1:8" s="145" customFormat="1" ht="16.5" hidden="1" customHeight="1" x14ac:dyDescent="0.25">
      <c r="A150" s="131"/>
      <c r="B150" s="136" t="s">
        <v>216</v>
      </c>
      <c r="C150" s="143" t="s">
        <v>207</v>
      </c>
      <c r="D150" s="139"/>
      <c r="E150" s="178">
        <v>1840</v>
      </c>
      <c r="F150" s="158"/>
      <c r="G150" s="29"/>
      <c r="H150" s="11"/>
    </row>
    <row r="151" spans="1:8" s="145" customFormat="1" hidden="1" x14ac:dyDescent="0.25">
      <c r="A151" s="131">
        <v>1</v>
      </c>
      <c r="B151" s="136" t="s">
        <v>216</v>
      </c>
      <c r="C151" s="12" t="s">
        <v>6</v>
      </c>
      <c r="D151" s="13"/>
      <c r="E151" s="130"/>
      <c r="F151" s="2"/>
      <c r="G151" s="2"/>
      <c r="H151" s="10"/>
    </row>
    <row r="152" spans="1:8" s="145" customFormat="1" hidden="1" x14ac:dyDescent="0.25">
      <c r="A152" s="131"/>
      <c r="B152" s="136" t="s">
        <v>216</v>
      </c>
      <c r="C152" s="12" t="s">
        <v>98</v>
      </c>
      <c r="D152" s="13"/>
      <c r="E152" s="130"/>
      <c r="F152" s="2"/>
      <c r="G152" s="2"/>
      <c r="H152" s="10"/>
    </row>
    <row r="153" spans="1:8" s="145" customFormat="1" ht="18.75" hidden="1" customHeight="1" x14ac:dyDescent="0.25">
      <c r="A153" s="131"/>
      <c r="B153" s="136" t="s">
        <v>216</v>
      </c>
      <c r="C153" s="14" t="s">
        <v>251</v>
      </c>
      <c r="D153" s="13"/>
      <c r="E153" s="146">
        <f>E155+E158+E159+E160</f>
        <v>14750</v>
      </c>
      <c r="F153" s="2"/>
      <c r="G153" s="2"/>
      <c r="H153" s="10"/>
    </row>
    <row r="154" spans="1:8" s="145" customFormat="1" ht="18.75" hidden="1" customHeight="1" x14ac:dyDescent="0.25">
      <c r="A154" s="131"/>
      <c r="B154" s="136" t="s">
        <v>216</v>
      </c>
      <c r="C154" s="15" t="s">
        <v>252</v>
      </c>
      <c r="D154" s="13"/>
      <c r="E154" s="130"/>
      <c r="F154" s="2"/>
      <c r="G154" s="2"/>
      <c r="H154" s="10"/>
    </row>
    <row r="155" spans="1:8" s="145" customFormat="1" ht="30" hidden="1" x14ac:dyDescent="0.25">
      <c r="A155" s="131"/>
      <c r="B155" s="136" t="s">
        <v>216</v>
      </c>
      <c r="C155" s="16" t="s">
        <v>388</v>
      </c>
      <c r="D155" s="13"/>
      <c r="E155" s="130">
        <f>E156+E157</f>
        <v>14750</v>
      </c>
      <c r="F155" s="2"/>
      <c r="G155" s="2"/>
      <c r="H155" s="10"/>
    </row>
    <row r="156" spans="1:8" s="145" customFormat="1" hidden="1" x14ac:dyDescent="0.25">
      <c r="A156" s="131"/>
      <c r="B156" s="136" t="s">
        <v>216</v>
      </c>
      <c r="C156" s="15" t="s">
        <v>389</v>
      </c>
      <c r="D156" s="13"/>
      <c r="E156" s="130">
        <v>14500</v>
      </c>
      <c r="F156" s="2"/>
      <c r="G156" s="2"/>
      <c r="H156" s="10"/>
    </row>
    <row r="157" spans="1:8" s="145" customFormat="1" ht="45" hidden="1" x14ac:dyDescent="0.25">
      <c r="A157" s="131"/>
      <c r="B157" s="136" t="s">
        <v>216</v>
      </c>
      <c r="C157" s="15" t="s">
        <v>391</v>
      </c>
      <c r="D157" s="13"/>
      <c r="E157" s="130">
        <v>250</v>
      </c>
      <c r="F157" s="2"/>
      <c r="G157" s="2"/>
      <c r="H157" s="10"/>
    </row>
    <row r="158" spans="1:8" s="145" customFormat="1" ht="60" hidden="1" x14ac:dyDescent="0.25">
      <c r="A158" s="131"/>
      <c r="B158" s="136" t="s">
        <v>216</v>
      </c>
      <c r="C158" s="15" t="s">
        <v>392</v>
      </c>
      <c r="D158" s="13"/>
      <c r="E158" s="130"/>
      <c r="F158" s="2"/>
      <c r="G158" s="2"/>
      <c r="H158" s="10"/>
    </row>
    <row r="159" spans="1:8" s="145" customFormat="1" ht="45" hidden="1" x14ac:dyDescent="0.25">
      <c r="A159" s="131"/>
      <c r="B159" s="136"/>
      <c r="C159" s="18" t="s">
        <v>393</v>
      </c>
      <c r="D159" s="13"/>
      <c r="E159" s="130"/>
      <c r="F159" s="2"/>
      <c r="G159" s="2"/>
      <c r="H159" s="10"/>
    </row>
    <row r="160" spans="1:8" s="145" customFormat="1" ht="75" hidden="1" x14ac:dyDescent="0.25">
      <c r="A160" s="131">
        <v>1</v>
      </c>
      <c r="B160" s="136" t="s">
        <v>216</v>
      </c>
      <c r="C160" s="18" t="s">
        <v>394</v>
      </c>
      <c r="D160" s="13"/>
      <c r="E160" s="130"/>
      <c r="F160" s="2"/>
      <c r="G160" s="2"/>
      <c r="H160" s="10"/>
    </row>
    <row r="161" spans="1:8" s="145" customFormat="1" hidden="1" x14ac:dyDescent="0.25">
      <c r="A161" s="131"/>
      <c r="B161" s="136"/>
      <c r="C161" s="14" t="s">
        <v>253</v>
      </c>
      <c r="D161" s="13"/>
      <c r="E161" s="130">
        <f>E162</f>
        <v>1750</v>
      </c>
      <c r="F161" s="2"/>
      <c r="G161" s="2"/>
      <c r="H161" s="10"/>
    </row>
    <row r="162" spans="1:8" s="145" customFormat="1" hidden="1" x14ac:dyDescent="0.25">
      <c r="A162" s="131"/>
      <c r="B162" s="136"/>
      <c r="C162" s="14" t="s">
        <v>254</v>
      </c>
      <c r="D162" s="13"/>
      <c r="E162" s="130">
        <v>1750</v>
      </c>
      <c r="F162" s="2"/>
      <c r="G162" s="2"/>
      <c r="H162" s="10"/>
    </row>
    <row r="163" spans="1:8" s="145" customFormat="1" ht="29.25" hidden="1" x14ac:dyDescent="0.25">
      <c r="A163" s="131">
        <v>1</v>
      </c>
      <c r="B163" s="136" t="s">
        <v>216</v>
      </c>
      <c r="C163" s="14" t="s">
        <v>256</v>
      </c>
      <c r="D163" s="13"/>
      <c r="E163" s="130">
        <f>E164</f>
        <v>26900</v>
      </c>
      <c r="F163" s="2"/>
      <c r="G163" s="2"/>
      <c r="H163" s="10"/>
    </row>
    <row r="164" spans="1:8" s="145" customFormat="1" ht="30" hidden="1" x14ac:dyDescent="0.25">
      <c r="A164" s="131">
        <v>1</v>
      </c>
      <c r="B164" s="136" t="s">
        <v>216</v>
      </c>
      <c r="C164" s="19" t="s">
        <v>117</v>
      </c>
      <c r="D164" s="13"/>
      <c r="E164" s="130">
        <v>26900</v>
      </c>
      <c r="F164" s="2"/>
      <c r="G164" s="2"/>
      <c r="H164" s="10"/>
    </row>
    <row r="165" spans="1:8" s="145" customFormat="1" ht="57.75" hidden="1" x14ac:dyDescent="0.25">
      <c r="A165" s="131">
        <v>1</v>
      </c>
      <c r="B165" s="136" t="s">
        <v>216</v>
      </c>
      <c r="C165" s="14" t="s">
        <v>259</v>
      </c>
      <c r="D165" s="13"/>
      <c r="E165" s="130">
        <v>20600</v>
      </c>
      <c r="F165" s="2"/>
      <c r="G165" s="2"/>
      <c r="H165" s="10"/>
    </row>
    <row r="166" spans="1:8" s="145" customFormat="1" hidden="1" x14ac:dyDescent="0.25">
      <c r="A166" s="131">
        <v>1</v>
      </c>
      <c r="B166" s="136" t="s">
        <v>216</v>
      </c>
      <c r="C166" s="179" t="s">
        <v>91</v>
      </c>
      <c r="D166" s="144"/>
      <c r="E166" s="155">
        <f>SUM(E167:E170)</f>
        <v>11010</v>
      </c>
      <c r="F166" s="2"/>
      <c r="G166" s="2"/>
      <c r="H166" s="10"/>
    </row>
    <row r="167" spans="1:8" s="145" customFormat="1" hidden="1" x14ac:dyDescent="0.25">
      <c r="A167" s="131">
        <v>1</v>
      </c>
      <c r="B167" s="136" t="s">
        <v>216</v>
      </c>
      <c r="C167" s="180" t="s">
        <v>17</v>
      </c>
      <c r="D167" s="144"/>
      <c r="E167" s="130">
        <v>9250</v>
      </c>
      <c r="F167" s="2"/>
      <c r="G167" s="2"/>
      <c r="H167" s="10"/>
    </row>
    <row r="168" spans="1:8" s="145" customFormat="1" ht="30" hidden="1" x14ac:dyDescent="0.25">
      <c r="A168" s="131">
        <v>1</v>
      </c>
      <c r="B168" s="136" t="s">
        <v>216</v>
      </c>
      <c r="C168" s="176" t="s">
        <v>139</v>
      </c>
      <c r="D168" s="144"/>
      <c r="E168" s="130">
        <v>600</v>
      </c>
      <c r="F168" s="2"/>
      <c r="G168" s="2"/>
      <c r="H168" s="10"/>
    </row>
    <row r="169" spans="1:8" s="145" customFormat="1" hidden="1" x14ac:dyDescent="0.25">
      <c r="A169" s="131">
        <v>1</v>
      </c>
      <c r="B169" s="136" t="s">
        <v>216</v>
      </c>
      <c r="C169" s="180" t="s">
        <v>202</v>
      </c>
      <c r="D169" s="144"/>
      <c r="E169" s="130">
        <v>1000</v>
      </c>
      <c r="F169" s="2"/>
      <c r="G169" s="2"/>
      <c r="H169" s="10"/>
    </row>
    <row r="170" spans="1:8" s="145" customFormat="1" hidden="1" x14ac:dyDescent="0.25">
      <c r="A170" s="131">
        <v>1</v>
      </c>
      <c r="B170" s="136" t="s">
        <v>216</v>
      </c>
      <c r="C170" s="180" t="s">
        <v>210</v>
      </c>
      <c r="D170" s="144"/>
      <c r="E170" s="130">
        <v>160</v>
      </c>
      <c r="F170" s="2"/>
      <c r="G170" s="2"/>
      <c r="H170" s="10"/>
    </row>
    <row r="171" spans="1:8" s="145" customFormat="1" hidden="1" x14ac:dyDescent="0.25">
      <c r="A171" s="131"/>
      <c r="B171" s="136" t="s">
        <v>216</v>
      </c>
      <c r="C171" s="21" t="s">
        <v>195</v>
      </c>
      <c r="D171" s="13"/>
      <c r="E171" s="130">
        <f>E153</f>
        <v>14750</v>
      </c>
      <c r="F171" s="10"/>
      <c r="G171" s="10"/>
      <c r="H171" s="10"/>
    </row>
    <row r="172" spans="1:8" s="145" customFormat="1" hidden="1" x14ac:dyDescent="0.25">
      <c r="A172" s="131"/>
      <c r="B172" s="136" t="s">
        <v>216</v>
      </c>
      <c r="C172" s="21" t="s">
        <v>197</v>
      </c>
      <c r="D172" s="13"/>
      <c r="E172" s="130">
        <f>E161</f>
        <v>1750</v>
      </c>
      <c r="F172" s="10"/>
      <c r="G172" s="10"/>
      <c r="H172" s="10"/>
    </row>
    <row r="173" spans="1:8" s="145" customFormat="1" ht="29.25" hidden="1" x14ac:dyDescent="0.25">
      <c r="A173" s="131"/>
      <c r="B173" s="136" t="s">
        <v>216</v>
      </c>
      <c r="C173" s="21" t="s">
        <v>198</v>
      </c>
      <c r="D173" s="13"/>
      <c r="E173" s="130">
        <f>E165+E163</f>
        <v>47500</v>
      </c>
      <c r="F173" s="10"/>
      <c r="G173" s="10"/>
      <c r="H173" s="10"/>
    </row>
    <row r="174" spans="1:8" s="145" customFormat="1" hidden="1" x14ac:dyDescent="0.25">
      <c r="A174" s="131"/>
      <c r="B174" s="136" t="s">
        <v>216</v>
      </c>
      <c r="C174" s="22" t="s">
        <v>112</v>
      </c>
      <c r="D174" s="17"/>
      <c r="E174" s="146">
        <f>E173+E171+E172*2.6</f>
        <v>66800</v>
      </c>
      <c r="F174" s="10"/>
      <c r="G174" s="10"/>
      <c r="H174" s="10"/>
    </row>
    <row r="175" spans="1:8" s="145" customFormat="1" hidden="1" x14ac:dyDescent="0.25">
      <c r="A175" s="131">
        <v>1</v>
      </c>
      <c r="B175" s="136" t="s">
        <v>216</v>
      </c>
      <c r="C175" s="30" t="s">
        <v>7</v>
      </c>
      <c r="D175" s="144"/>
      <c r="E175" s="146"/>
      <c r="F175" s="2"/>
      <c r="G175" s="2"/>
      <c r="H175" s="10"/>
    </row>
    <row r="176" spans="1:8" s="145" customFormat="1" ht="15.75" hidden="1" x14ac:dyDescent="0.25">
      <c r="A176" s="131">
        <v>1</v>
      </c>
      <c r="B176" s="136" t="s">
        <v>216</v>
      </c>
      <c r="C176" s="149" t="s">
        <v>93</v>
      </c>
      <c r="D176" s="144"/>
      <c r="E176" s="146"/>
      <c r="F176" s="2"/>
      <c r="G176" s="2"/>
      <c r="H176" s="10"/>
    </row>
    <row r="177" spans="1:8" s="145" customFormat="1" hidden="1" x14ac:dyDescent="0.25">
      <c r="A177" s="131">
        <v>1</v>
      </c>
      <c r="B177" s="136" t="s">
        <v>216</v>
      </c>
      <c r="C177" s="1" t="s">
        <v>63</v>
      </c>
      <c r="D177" s="24">
        <v>300</v>
      </c>
      <c r="E177" s="130"/>
      <c r="F177" s="150">
        <v>8.5</v>
      </c>
      <c r="G177" s="2">
        <f>ROUND(H177/D177,0)</f>
        <v>0</v>
      </c>
      <c r="H177" s="10">
        <f>ROUND(E177*F177,0)</f>
        <v>0</v>
      </c>
    </row>
    <row r="178" spans="1:8" s="145" customFormat="1" hidden="1" x14ac:dyDescent="0.25">
      <c r="A178" s="131">
        <v>1</v>
      </c>
      <c r="B178" s="136" t="s">
        <v>216</v>
      </c>
      <c r="C178" s="1" t="s">
        <v>56</v>
      </c>
      <c r="D178" s="24">
        <v>300</v>
      </c>
      <c r="E178" s="426">
        <v>192</v>
      </c>
      <c r="F178" s="150">
        <v>8</v>
      </c>
      <c r="G178" s="2">
        <f>ROUND(H178/D178,0)</f>
        <v>5</v>
      </c>
      <c r="H178" s="10">
        <f>ROUND(E178*F178,0)</f>
        <v>1536</v>
      </c>
    </row>
    <row r="179" spans="1:8" s="145" customFormat="1" hidden="1" x14ac:dyDescent="0.25">
      <c r="A179" s="131">
        <v>1</v>
      </c>
      <c r="B179" s="136" t="s">
        <v>216</v>
      </c>
      <c r="C179" s="1" t="s">
        <v>10</v>
      </c>
      <c r="D179" s="24">
        <v>300</v>
      </c>
      <c r="E179" s="130"/>
      <c r="F179" s="150">
        <v>8.5</v>
      </c>
      <c r="G179" s="2">
        <f>ROUND(H179/D179,0)</f>
        <v>0</v>
      </c>
      <c r="H179" s="10">
        <f>ROUND(E179*F179,0)</f>
        <v>0</v>
      </c>
    </row>
    <row r="180" spans="1:8" s="145" customFormat="1" hidden="1" x14ac:dyDescent="0.25">
      <c r="A180" s="131">
        <v>1</v>
      </c>
      <c r="B180" s="136" t="s">
        <v>216</v>
      </c>
      <c r="C180" s="154" t="s">
        <v>9</v>
      </c>
      <c r="D180" s="144"/>
      <c r="E180" s="155">
        <v>192</v>
      </c>
      <c r="F180" s="181">
        <f>H180/E180</f>
        <v>8</v>
      </c>
      <c r="G180" s="31">
        <f>SUM(G177:G179)</f>
        <v>5</v>
      </c>
      <c r="H180" s="156">
        <f>SUM(H177:H179)</f>
        <v>1536</v>
      </c>
    </row>
    <row r="181" spans="1:8" s="145" customFormat="1" ht="15.75" hidden="1" customHeight="1" x14ac:dyDescent="0.25">
      <c r="A181" s="131">
        <v>1</v>
      </c>
      <c r="B181" s="136" t="s">
        <v>216</v>
      </c>
      <c r="C181" s="26" t="s">
        <v>88</v>
      </c>
      <c r="D181" s="159"/>
      <c r="E181" s="183">
        <f>E180</f>
        <v>192</v>
      </c>
      <c r="F181" s="184">
        <f>H181/E181</f>
        <v>8</v>
      </c>
      <c r="G181" s="167">
        <f>G180</f>
        <v>5</v>
      </c>
      <c r="H181" s="167">
        <f>H180</f>
        <v>1536</v>
      </c>
    </row>
    <row r="182" spans="1:8" s="145" customFormat="1" ht="12.75" hidden="1" customHeight="1" x14ac:dyDescent="0.25">
      <c r="A182" s="131"/>
      <c r="B182" s="136" t="s">
        <v>216</v>
      </c>
      <c r="C182" s="185"/>
      <c r="D182" s="186"/>
      <c r="E182" s="183"/>
      <c r="F182" s="187"/>
      <c r="G182" s="167"/>
      <c r="H182" s="11"/>
    </row>
    <row r="183" spans="1:8" s="145" customFormat="1" ht="30" hidden="1" x14ac:dyDescent="0.25">
      <c r="A183" s="131"/>
      <c r="B183" s="136" t="s">
        <v>216</v>
      </c>
      <c r="C183" s="188" t="s">
        <v>276</v>
      </c>
      <c r="D183" s="144"/>
      <c r="E183" s="189"/>
      <c r="F183" s="190"/>
      <c r="G183" s="28"/>
      <c r="H183" s="191"/>
    </row>
    <row r="184" spans="1:8" s="145" customFormat="1" ht="30" hidden="1" x14ac:dyDescent="0.25">
      <c r="A184" s="131"/>
      <c r="B184" s="136"/>
      <c r="C184" s="188" t="s">
        <v>277</v>
      </c>
      <c r="D184" s="192"/>
      <c r="E184" s="189"/>
      <c r="F184" s="190"/>
      <c r="G184" s="28"/>
      <c r="H184" s="28"/>
    </row>
    <row r="185" spans="1:8" s="145" customFormat="1" ht="37.5" hidden="1" customHeight="1" x14ac:dyDescent="0.25">
      <c r="A185" s="131"/>
      <c r="B185" s="136" t="s">
        <v>216</v>
      </c>
      <c r="C185" s="188" t="s">
        <v>278</v>
      </c>
      <c r="D185" s="159"/>
      <c r="E185" s="193"/>
      <c r="F185" s="190"/>
      <c r="G185" s="28"/>
      <c r="H185" s="28"/>
    </row>
    <row r="186" spans="1:8" s="145" customFormat="1" ht="31.5" hidden="1" customHeight="1" x14ac:dyDescent="0.25">
      <c r="A186" s="131"/>
      <c r="B186" s="136" t="s">
        <v>216</v>
      </c>
      <c r="C186" s="129" t="s">
        <v>266</v>
      </c>
      <c r="D186" s="144"/>
      <c r="E186" s="216">
        <f>SUM(E183:E185)</f>
        <v>0</v>
      </c>
      <c r="F186" s="187"/>
      <c r="G186" s="167"/>
      <c r="H186" s="191"/>
    </row>
    <row r="187" spans="1:8" s="435" customFormat="1" ht="18" hidden="1" customHeight="1" x14ac:dyDescent="0.25">
      <c r="A187" s="428"/>
      <c r="B187" s="429"/>
      <c r="C187" s="430" t="s">
        <v>187</v>
      </c>
      <c r="D187" s="438"/>
      <c r="E187" s="130">
        <v>60</v>
      </c>
      <c r="F187" s="431"/>
      <c r="G187" s="432"/>
      <c r="H187" s="433"/>
    </row>
    <row r="188" spans="1:8" s="435" customFormat="1" ht="18" hidden="1" customHeight="1" x14ac:dyDescent="0.25">
      <c r="A188" s="428"/>
      <c r="B188" s="429"/>
      <c r="C188" s="430" t="s">
        <v>190</v>
      </c>
      <c r="D188" s="436"/>
      <c r="E188" s="130">
        <v>10</v>
      </c>
      <c r="F188" s="431"/>
      <c r="G188" s="432"/>
      <c r="H188" s="433"/>
    </row>
    <row r="189" spans="1:8" s="435" customFormat="1" ht="18" hidden="1" customHeight="1" thickBot="1" x14ac:dyDescent="0.3">
      <c r="A189" s="428"/>
      <c r="B189" s="429"/>
      <c r="C189" s="434" t="s">
        <v>166</v>
      </c>
      <c r="D189" s="437"/>
      <c r="E189" s="462">
        <f>SUM(E187:E188)</f>
        <v>70</v>
      </c>
      <c r="F189" s="431"/>
      <c r="G189" s="432"/>
      <c r="H189" s="433"/>
    </row>
    <row r="190" spans="1:8" s="173" customFormat="1" ht="15.75" hidden="1" thickBot="1" x14ac:dyDescent="0.3">
      <c r="A190" s="131">
        <v>1</v>
      </c>
      <c r="B190" s="136" t="s">
        <v>216</v>
      </c>
      <c r="C190" s="168" t="s">
        <v>213</v>
      </c>
      <c r="D190" s="169"/>
      <c r="E190" s="194"/>
      <c r="F190" s="195"/>
      <c r="G190" s="196"/>
      <c r="H190" s="197"/>
    </row>
    <row r="191" spans="1:8" hidden="1" x14ac:dyDescent="0.25">
      <c r="A191" s="131">
        <v>1</v>
      </c>
      <c r="C191" s="198"/>
      <c r="D191" s="175"/>
      <c r="E191" s="130"/>
      <c r="F191" s="10"/>
      <c r="G191" s="10"/>
      <c r="H191" s="10"/>
    </row>
    <row r="192" spans="1:8" ht="43.5" hidden="1" x14ac:dyDescent="0.25">
      <c r="A192" s="136" t="s">
        <v>217</v>
      </c>
      <c r="B192" s="136" t="s">
        <v>217</v>
      </c>
      <c r="C192" s="686" t="s">
        <v>306</v>
      </c>
      <c r="D192" s="144"/>
      <c r="E192" s="130"/>
      <c r="F192" s="10"/>
      <c r="G192" s="10"/>
      <c r="H192" s="10"/>
    </row>
    <row r="193" spans="1:8" hidden="1" x14ac:dyDescent="0.25">
      <c r="A193" s="136" t="s">
        <v>217</v>
      </c>
      <c r="B193" s="136" t="s">
        <v>217</v>
      </c>
      <c r="C193" s="137" t="s">
        <v>4</v>
      </c>
      <c r="D193" s="144"/>
      <c r="E193" s="130"/>
      <c r="F193" s="10"/>
      <c r="G193" s="10"/>
      <c r="H193" s="10"/>
    </row>
    <row r="194" spans="1:8" hidden="1" x14ac:dyDescent="0.25">
      <c r="A194" s="136" t="s">
        <v>217</v>
      </c>
      <c r="B194" s="136" t="s">
        <v>217</v>
      </c>
      <c r="C194" s="32" t="s">
        <v>21</v>
      </c>
      <c r="D194" s="139">
        <v>340</v>
      </c>
      <c r="E194" s="10">
        <v>2460</v>
      </c>
      <c r="F194" s="140">
        <v>6.9</v>
      </c>
      <c r="G194" s="2">
        <f t="shared" ref="G194:G199" si="8">ROUND(H194/D194,0)</f>
        <v>50</v>
      </c>
      <c r="H194" s="10">
        <f t="shared" ref="H194:H200" si="9">ROUND(E194*F194,0)</f>
        <v>16974</v>
      </c>
    </row>
    <row r="195" spans="1:8" hidden="1" x14ac:dyDescent="0.25">
      <c r="A195" s="136" t="s">
        <v>217</v>
      </c>
      <c r="B195" s="136" t="s">
        <v>217</v>
      </c>
      <c r="C195" s="32" t="s">
        <v>26</v>
      </c>
      <c r="D195" s="139">
        <v>300</v>
      </c>
      <c r="E195" s="10">
        <v>3520</v>
      </c>
      <c r="F195" s="140">
        <v>5</v>
      </c>
      <c r="G195" s="2">
        <f t="shared" si="8"/>
        <v>59</v>
      </c>
      <c r="H195" s="10">
        <f t="shared" si="9"/>
        <v>17600</v>
      </c>
    </row>
    <row r="196" spans="1:8" ht="15.75" hidden="1" customHeight="1" x14ac:dyDescent="0.25">
      <c r="A196" s="136" t="s">
        <v>217</v>
      </c>
      <c r="B196" s="136" t="s">
        <v>217</v>
      </c>
      <c r="C196" s="32" t="s">
        <v>110</v>
      </c>
      <c r="D196" s="139">
        <v>330</v>
      </c>
      <c r="E196" s="10">
        <v>450</v>
      </c>
      <c r="F196" s="140">
        <v>5.0999999999999996</v>
      </c>
      <c r="G196" s="2">
        <f t="shared" si="8"/>
        <v>7</v>
      </c>
      <c r="H196" s="10">
        <f t="shared" si="9"/>
        <v>2295</v>
      </c>
    </row>
    <row r="197" spans="1:8" hidden="1" x14ac:dyDescent="0.25">
      <c r="A197" s="136" t="s">
        <v>217</v>
      </c>
      <c r="B197" s="136" t="s">
        <v>217</v>
      </c>
      <c r="C197" s="32" t="s">
        <v>22</v>
      </c>
      <c r="D197" s="139">
        <v>330</v>
      </c>
      <c r="E197" s="10">
        <v>1688</v>
      </c>
      <c r="F197" s="140">
        <v>7.3</v>
      </c>
      <c r="G197" s="2">
        <f t="shared" si="8"/>
        <v>37</v>
      </c>
      <c r="H197" s="10">
        <f t="shared" si="9"/>
        <v>12322</v>
      </c>
    </row>
    <row r="198" spans="1:8" ht="28.5" hidden="1" customHeight="1" x14ac:dyDescent="0.25">
      <c r="A198" s="136" t="s">
        <v>217</v>
      </c>
      <c r="B198" s="136" t="s">
        <v>217</v>
      </c>
      <c r="C198" s="32" t="s">
        <v>81</v>
      </c>
      <c r="D198" s="139">
        <v>300</v>
      </c>
      <c r="E198" s="10">
        <v>1295</v>
      </c>
      <c r="F198" s="140">
        <v>16.399999999999999</v>
      </c>
      <c r="G198" s="2">
        <f t="shared" si="8"/>
        <v>71</v>
      </c>
      <c r="H198" s="10">
        <f t="shared" si="9"/>
        <v>21238</v>
      </c>
    </row>
    <row r="199" spans="1:8" hidden="1" x14ac:dyDescent="0.25">
      <c r="A199" s="136" t="s">
        <v>217</v>
      </c>
      <c r="B199" s="136" t="s">
        <v>217</v>
      </c>
      <c r="C199" s="32" t="s">
        <v>82</v>
      </c>
      <c r="D199" s="139">
        <v>300</v>
      </c>
      <c r="E199" s="10">
        <v>180</v>
      </c>
      <c r="F199" s="140">
        <v>13.3</v>
      </c>
      <c r="G199" s="2">
        <f t="shared" si="8"/>
        <v>8</v>
      </c>
      <c r="H199" s="10">
        <f t="shared" si="9"/>
        <v>2394</v>
      </c>
    </row>
    <row r="200" spans="1:8" hidden="1" x14ac:dyDescent="0.25">
      <c r="A200" s="136" t="s">
        <v>217</v>
      </c>
      <c r="B200" s="136" t="s">
        <v>217</v>
      </c>
      <c r="C200" s="32"/>
      <c r="D200" s="139"/>
      <c r="E200" s="130"/>
      <c r="F200" s="140"/>
      <c r="G200" s="2"/>
      <c r="H200" s="10">
        <f t="shared" si="9"/>
        <v>0</v>
      </c>
    </row>
    <row r="201" spans="1:8" s="145" customFormat="1" ht="17.25" hidden="1" customHeight="1" x14ac:dyDescent="0.25">
      <c r="A201" s="136" t="s">
        <v>217</v>
      </c>
      <c r="B201" s="136" t="s">
        <v>217</v>
      </c>
      <c r="C201" s="143" t="s">
        <v>5</v>
      </c>
      <c r="D201" s="199"/>
      <c r="E201" s="29">
        <f>SUM(E194:E200)</f>
        <v>9593</v>
      </c>
      <c r="F201" s="158">
        <f>H201/E201</f>
        <v>7.5912644636714273</v>
      </c>
      <c r="G201" s="29">
        <f>SUM(G194:G199)</f>
        <v>232</v>
      </c>
      <c r="H201" s="11">
        <f>SUM(H194:H200)</f>
        <v>72823</v>
      </c>
    </row>
    <row r="202" spans="1:8" s="145" customFormat="1" ht="17.25" hidden="1" customHeight="1" x14ac:dyDescent="0.25">
      <c r="A202" s="136" t="s">
        <v>217</v>
      </c>
      <c r="B202" s="136" t="s">
        <v>217</v>
      </c>
      <c r="C202" s="143" t="s">
        <v>207</v>
      </c>
      <c r="D202" s="199"/>
      <c r="E202" s="29">
        <v>65</v>
      </c>
      <c r="F202" s="158"/>
      <c r="G202" s="29"/>
      <c r="H202" s="11"/>
    </row>
    <row r="203" spans="1:8" s="145" customFormat="1" ht="17.25" hidden="1" customHeight="1" x14ac:dyDescent="0.25">
      <c r="A203" s="136" t="s">
        <v>217</v>
      </c>
      <c r="B203" s="136" t="s">
        <v>217</v>
      </c>
      <c r="C203" s="33" t="s">
        <v>111</v>
      </c>
      <c r="D203" s="17"/>
      <c r="E203" s="130"/>
      <c r="F203" s="2"/>
      <c r="G203" s="2"/>
      <c r="H203" s="10"/>
    </row>
    <row r="204" spans="1:8" s="145" customFormat="1" ht="17.25" hidden="1" customHeight="1" x14ac:dyDescent="0.25">
      <c r="A204" s="136" t="s">
        <v>217</v>
      </c>
      <c r="B204" s="136" t="s">
        <v>217</v>
      </c>
      <c r="C204" s="12" t="s">
        <v>98</v>
      </c>
      <c r="D204" s="17"/>
      <c r="E204" s="130"/>
      <c r="F204" s="2"/>
      <c r="G204" s="2"/>
      <c r="H204" s="10"/>
    </row>
    <row r="205" spans="1:8" s="145" customFormat="1" ht="45.75" hidden="1" customHeight="1" x14ac:dyDescent="0.25">
      <c r="A205" s="136" t="s">
        <v>217</v>
      </c>
      <c r="B205" s="136" t="s">
        <v>217</v>
      </c>
      <c r="C205" s="14" t="s">
        <v>258</v>
      </c>
      <c r="D205" s="17"/>
      <c r="E205" s="146">
        <f>E207+E210+E211</f>
        <v>33820</v>
      </c>
      <c r="F205" s="2"/>
      <c r="G205" s="2"/>
      <c r="H205" s="10"/>
    </row>
    <row r="206" spans="1:8" s="145" customFormat="1" ht="17.25" hidden="1" customHeight="1" x14ac:dyDescent="0.25">
      <c r="A206" s="136" t="s">
        <v>217</v>
      </c>
      <c r="B206" s="136" t="s">
        <v>217</v>
      </c>
      <c r="C206" s="15" t="s">
        <v>252</v>
      </c>
      <c r="D206" s="17"/>
      <c r="E206" s="130"/>
      <c r="F206" s="2"/>
      <c r="G206" s="2"/>
      <c r="H206" s="10"/>
    </row>
    <row r="207" spans="1:8" s="145" customFormat="1" ht="34.5" hidden="1" customHeight="1" x14ac:dyDescent="0.25">
      <c r="A207" s="136" t="s">
        <v>217</v>
      </c>
      <c r="B207" s="136" t="s">
        <v>217</v>
      </c>
      <c r="C207" s="16" t="s">
        <v>388</v>
      </c>
      <c r="D207" s="17"/>
      <c r="E207" s="130">
        <f>E208+E209</f>
        <v>29820</v>
      </c>
      <c r="F207" s="2"/>
      <c r="G207" s="2"/>
      <c r="H207" s="10"/>
    </row>
    <row r="208" spans="1:8" s="145" customFormat="1" hidden="1" x14ac:dyDescent="0.25">
      <c r="A208" s="136" t="s">
        <v>217</v>
      </c>
      <c r="B208" s="136" t="s">
        <v>217</v>
      </c>
      <c r="C208" s="15" t="s">
        <v>389</v>
      </c>
      <c r="D208" s="13"/>
      <c r="E208" s="130">
        <v>22770</v>
      </c>
      <c r="F208" s="10"/>
      <c r="G208" s="10"/>
      <c r="H208" s="10"/>
    </row>
    <row r="209" spans="1:8" s="145" customFormat="1" ht="45" hidden="1" customHeight="1" x14ac:dyDescent="0.25">
      <c r="A209" s="136" t="s">
        <v>217</v>
      </c>
      <c r="B209" s="136" t="s">
        <v>217</v>
      </c>
      <c r="C209" s="15" t="s">
        <v>391</v>
      </c>
      <c r="D209" s="17"/>
      <c r="E209" s="130">
        <v>7050</v>
      </c>
      <c r="F209" s="2"/>
      <c r="G209" s="2"/>
      <c r="H209" s="10"/>
    </row>
    <row r="210" spans="1:8" s="145" customFormat="1" ht="60" hidden="1" x14ac:dyDescent="0.25">
      <c r="A210" s="136" t="s">
        <v>217</v>
      </c>
      <c r="B210" s="136" t="s">
        <v>217</v>
      </c>
      <c r="C210" s="15" t="s">
        <v>392</v>
      </c>
      <c r="D210" s="17"/>
      <c r="E210" s="130"/>
      <c r="F210" s="2"/>
      <c r="G210" s="2"/>
      <c r="H210" s="10"/>
    </row>
    <row r="211" spans="1:8" s="145" customFormat="1" ht="55.5" hidden="1" customHeight="1" x14ac:dyDescent="0.25">
      <c r="A211" s="136" t="s">
        <v>217</v>
      </c>
      <c r="B211" s="136" t="s">
        <v>217</v>
      </c>
      <c r="C211" s="18" t="s">
        <v>393</v>
      </c>
      <c r="D211" s="17"/>
      <c r="E211" s="130">
        <v>4000</v>
      </c>
      <c r="F211" s="2"/>
      <c r="G211" s="2"/>
      <c r="H211" s="10"/>
    </row>
    <row r="212" spans="1:8" s="145" customFormat="1" ht="30" hidden="1" customHeight="1" x14ac:dyDescent="0.25">
      <c r="A212" s="136" t="s">
        <v>217</v>
      </c>
      <c r="B212" s="136" t="s">
        <v>217</v>
      </c>
      <c r="C212" s="14" t="s">
        <v>260</v>
      </c>
      <c r="D212" s="17"/>
      <c r="E212" s="146">
        <f>E213</f>
        <v>7000</v>
      </c>
      <c r="F212" s="2"/>
      <c r="G212" s="2"/>
      <c r="H212" s="10"/>
    </row>
    <row r="213" spans="1:8" s="145" customFormat="1" ht="30" hidden="1" customHeight="1" x14ac:dyDescent="0.25">
      <c r="A213" s="136"/>
      <c r="B213" s="136"/>
      <c r="C213" s="14" t="s">
        <v>254</v>
      </c>
      <c r="D213" s="17"/>
      <c r="E213" s="146">
        <v>7000</v>
      </c>
      <c r="F213" s="2"/>
      <c r="G213" s="2"/>
      <c r="H213" s="10"/>
    </row>
    <row r="214" spans="1:8" s="145" customFormat="1" ht="29.25" hidden="1" x14ac:dyDescent="0.25">
      <c r="A214" s="136" t="s">
        <v>217</v>
      </c>
      <c r="B214" s="136" t="s">
        <v>217</v>
      </c>
      <c r="C214" s="14" t="s">
        <v>256</v>
      </c>
      <c r="D214" s="17"/>
      <c r="E214" s="130"/>
      <c r="F214" s="2"/>
      <c r="G214" s="2"/>
      <c r="H214" s="10"/>
    </row>
    <row r="215" spans="1:8" s="145" customFormat="1" ht="30" hidden="1" x14ac:dyDescent="0.25">
      <c r="A215" s="136" t="s">
        <v>217</v>
      </c>
      <c r="B215" s="136" t="s">
        <v>217</v>
      </c>
      <c r="C215" s="19" t="s">
        <v>117</v>
      </c>
      <c r="D215" s="17"/>
      <c r="E215" s="130"/>
      <c r="F215" s="2"/>
      <c r="G215" s="2"/>
      <c r="H215" s="10"/>
    </row>
    <row r="216" spans="1:8" s="145" customFormat="1" ht="57.75" hidden="1" x14ac:dyDescent="0.25">
      <c r="A216" s="136" t="s">
        <v>217</v>
      </c>
      <c r="B216" s="136" t="s">
        <v>217</v>
      </c>
      <c r="C216" s="14" t="s">
        <v>257</v>
      </c>
      <c r="D216" s="17"/>
      <c r="E216" s="130">
        <v>3200</v>
      </c>
      <c r="F216" s="2"/>
      <c r="G216" s="2"/>
      <c r="H216" s="10"/>
    </row>
    <row r="217" spans="1:8" s="145" customFormat="1" hidden="1" x14ac:dyDescent="0.25">
      <c r="A217" s="136" t="s">
        <v>217</v>
      </c>
      <c r="B217" s="136" t="s">
        <v>217</v>
      </c>
      <c r="C217" s="20" t="s">
        <v>165</v>
      </c>
      <c r="D217" s="17"/>
      <c r="E217" s="146">
        <f>SUM(E218:E247)</f>
        <v>87536</v>
      </c>
      <c r="F217" s="2"/>
      <c r="G217" s="2"/>
      <c r="H217" s="10"/>
    </row>
    <row r="218" spans="1:8" s="145" customFormat="1" ht="30" hidden="1" x14ac:dyDescent="0.25">
      <c r="A218" s="136" t="s">
        <v>217</v>
      </c>
      <c r="B218" s="136" t="s">
        <v>217</v>
      </c>
      <c r="C218" s="19" t="s">
        <v>124</v>
      </c>
      <c r="D218" s="17"/>
      <c r="E218" s="130">
        <v>16000</v>
      </c>
      <c r="F218" s="2"/>
      <c r="G218" s="2"/>
      <c r="H218" s="10"/>
    </row>
    <row r="219" spans="1:8" s="145" customFormat="1" ht="30" hidden="1" x14ac:dyDescent="0.25">
      <c r="A219" s="136" t="s">
        <v>217</v>
      </c>
      <c r="B219" s="136" t="s">
        <v>217</v>
      </c>
      <c r="C219" s="19" t="s">
        <v>125</v>
      </c>
      <c r="D219" s="17"/>
      <c r="E219" s="130">
        <v>6900</v>
      </c>
      <c r="F219" s="2"/>
      <c r="G219" s="2"/>
      <c r="H219" s="10"/>
    </row>
    <row r="220" spans="1:8" s="145" customFormat="1" hidden="1" x14ac:dyDescent="0.25">
      <c r="A220" s="136" t="s">
        <v>217</v>
      </c>
      <c r="B220" s="136" t="s">
        <v>217</v>
      </c>
      <c r="C220" s="19" t="s">
        <v>16</v>
      </c>
      <c r="D220" s="17"/>
      <c r="E220" s="130">
        <v>2500</v>
      </c>
      <c r="F220" s="2"/>
      <c r="G220" s="2"/>
      <c r="H220" s="10"/>
    </row>
    <row r="221" spans="1:8" s="145" customFormat="1" hidden="1" x14ac:dyDescent="0.25">
      <c r="A221" s="136" t="s">
        <v>217</v>
      </c>
      <c r="B221" s="136" t="s">
        <v>217</v>
      </c>
      <c r="C221" s="19" t="s">
        <v>53</v>
      </c>
      <c r="D221" s="17"/>
      <c r="E221" s="130">
        <v>3200</v>
      </c>
      <c r="F221" s="2"/>
      <c r="G221" s="2"/>
      <c r="H221" s="10"/>
    </row>
    <row r="222" spans="1:8" s="145" customFormat="1" ht="60.75" hidden="1" customHeight="1" x14ac:dyDescent="0.25">
      <c r="A222" s="136" t="s">
        <v>217</v>
      </c>
      <c r="B222" s="136" t="s">
        <v>217</v>
      </c>
      <c r="C222" s="19" t="s">
        <v>155</v>
      </c>
      <c r="D222" s="17"/>
      <c r="E222" s="130">
        <v>500</v>
      </c>
      <c r="F222" s="2"/>
      <c r="G222" s="2"/>
      <c r="H222" s="10"/>
    </row>
    <row r="223" spans="1:8" s="145" customFormat="1" ht="60.75" hidden="1" customHeight="1" x14ac:dyDescent="0.25">
      <c r="A223" s="136" t="s">
        <v>217</v>
      </c>
      <c r="B223" s="136" t="s">
        <v>217</v>
      </c>
      <c r="C223" s="19" t="s">
        <v>154</v>
      </c>
      <c r="D223" s="17"/>
      <c r="E223" s="130">
        <v>850</v>
      </c>
      <c r="F223" s="2"/>
      <c r="G223" s="2"/>
      <c r="H223" s="10"/>
    </row>
    <row r="224" spans="1:8" s="145" customFormat="1" hidden="1" x14ac:dyDescent="0.25">
      <c r="A224" s="136" t="s">
        <v>217</v>
      </c>
      <c r="B224" s="136" t="s">
        <v>217</v>
      </c>
      <c r="C224" s="19" t="s">
        <v>17</v>
      </c>
      <c r="D224" s="17"/>
      <c r="E224" s="130">
        <v>4500</v>
      </c>
      <c r="F224" s="2"/>
      <c r="G224" s="2"/>
      <c r="H224" s="10"/>
    </row>
    <row r="225" spans="1:8" s="145" customFormat="1" ht="30" hidden="1" x14ac:dyDescent="0.25">
      <c r="A225" s="136" t="s">
        <v>217</v>
      </c>
      <c r="B225" s="136" t="s">
        <v>217</v>
      </c>
      <c r="C225" s="19" t="s">
        <v>139</v>
      </c>
      <c r="D225" s="17"/>
      <c r="E225" s="130">
        <v>1300</v>
      </c>
      <c r="F225" s="2"/>
      <c r="G225" s="2"/>
      <c r="H225" s="10"/>
    </row>
    <row r="226" spans="1:8" s="145" customFormat="1" hidden="1" x14ac:dyDescent="0.25">
      <c r="A226" s="136" t="s">
        <v>217</v>
      </c>
      <c r="B226" s="136" t="s">
        <v>217</v>
      </c>
      <c r="C226" s="19" t="s">
        <v>147</v>
      </c>
      <c r="D226" s="17"/>
      <c r="E226" s="130">
        <v>17000</v>
      </c>
      <c r="F226" s="2"/>
      <c r="G226" s="2"/>
      <c r="H226" s="10"/>
    </row>
    <row r="227" spans="1:8" s="145" customFormat="1" hidden="1" x14ac:dyDescent="0.25">
      <c r="A227" s="136" t="s">
        <v>217</v>
      </c>
      <c r="B227" s="136" t="s">
        <v>217</v>
      </c>
      <c r="C227" s="19" t="s">
        <v>202</v>
      </c>
      <c r="D227" s="17"/>
      <c r="E227" s="130">
        <v>3500</v>
      </c>
      <c r="F227" s="2"/>
      <c r="G227" s="2"/>
      <c r="H227" s="10"/>
    </row>
    <row r="228" spans="1:8" s="145" customFormat="1" hidden="1" x14ac:dyDescent="0.25">
      <c r="A228" s="136" t="s">
        <v>217</v>
      </c>
      <c r="B228" s="136" t="s">
        <v>217</v>
      </c>
      <c r="C228" s="19" t="s">
        <v>210</v>
      </c>
      <c r="D228" s="17"/>
      <c r="E228" s="130">
        <v>500</v>
      </c>
      <c r="F228" s="2"/>
      <c r="G228" s="2"/>
      <c r="H228" s="10"/>
    </row>
    <row r="229" spans="1:8" s="145" customFormat="1" ht="60.75" hidden="1" customHeight="1" x14ac:dyDescent="0.25">
      <c r="A229" s="136" t="s">
        <v>217</v>
      </c>
      <c r="B229" s="136" t="s">
        <v>217</v>
      </c>
      <c r="C229" s="19" t="s">
        <v>168</v>
      </c>
      <c r="D229" s="17"/>
      <c r="E229" s="130">
        <v>250</v>
      </c>
      <c r="F229" s="2"/>
      <c r="G229" s="2"/>
      <c r="H229" s="10"/>
    </row>
    <row r="230" spans="1:8" s="145" customFormat="1" ht="60" hidden="1" x14ac:dyDescent="0.25">
      <c r="A230" s="136" t="s">
        <v>217</v>
      </c>
      <c r="B230" s="136" t="s">
        <v>217</v>
      </c>
      <c r="C230" s="19" t="s">
        <v>167</v>
      </c>
      <c r="D230" s="17"/>
      <c r="E230" s="130">
        <v>250</v>
      </c>
      <c r="F230" s="2"/>
      <c r="G230" s="2"/>
      <c r="H230" s="10"/>
    </row>
    <row r="231" spans="1:8" s="145" customFormat="1" ht="105" hidden="1" x14ac:dyDescent="0.25">
      <c r="A231" s="136"/>
      <c r="B231" s="136"/>
      <c r="C231" s="19" t="s">
        <v>288</v>
      </c>
      <c r="D231" s="17"/>
      <c r="E231" s="130">
        <v>50</v>
      </c>
      <c r="F231" s="2"/>
      <c r="G231" s="2"/>
      <c r="H231" s="10"/>
    </row>
    <row r="232" spans="1:8" s="145" customFormat="1" ht="45" hidden="1" x14ac:dyDescent="0.25">
      <c r="A232" s="136" t="s">
        <v>217</v>
      </c>
      <c r="B232" s="136" t="s">
        <v>217</v>
      </c>
      <c r="C232" s="19" t="s">
        <v>126</v>
      </c>
      <c r="D232" s="17"/>
      <c r="E232" s="130">
        <v>550</v>
      </c>
      <c r="F232" s="2"/>
      <c r="G232" s="2"/>
      <c r="H232" s="10"/>
    </row>
    <row r="233" spans="1:8" s="145" customFormat="1" ht="90" hidden="1" x14ac:dyDescent="0.25">
      <c r="A233" s="136"/>
      <c r="B233" s="136"/>
      <c r="C233" s="19" t="s">
        <v>332</v>
      </c>
      <c r="D233" s="17"/>
      <c r="E233" s="130"/>
      <c r="F233" s="2"/>
      <c r="G233" s="2"/>
      <c r="H233" s="10"/>
    </row>
    <row r="234" spans="1:8" s="145" customFormat="1" ht="45" hidden="1" x14ac:dyDescent="0.25">
      <c r="A234" s="136"/>
      <c r="B234" s="136"/>
      <c r="C234" s="19" t="s">
        <v>292</v>
      </c>
      <c r="D234" s="17"/>
      <c r="E234" s="130">
        <v>1900</v>
      </c>
      <c r="F234" s="2"/>
      <c r="G234" s="2"/>
      <c r="H234" s="10"/>
    </row>
    <row r="235" spans="1:8" s="145" customFormat="1" ht="45" hidden="1" x14ac:dyDescent="0.25">
      <c r="A235" s="136"/>
      <c r="B235" s="136"/>
      <c r="C235" s="19" t="s">
        <v>283</v>
      </c>
      <c r="D235" s="17"/>
      <c r="E235" s="130">
        <v>600</v>
      </c>
      <c r="F235" s="2"/>
      <c r="G235" s="2"/>
      <c r="H235" s="10"/>
    </row>
    <row r="236" spans="1:8" s="145" customFormat="1" hidden="1" x14ac:dyDescent="0.25">
      <c r="A236" s="136" t="s">
        <v>217</v>
      </c>
      <c r="B236" s="136" t="s">
        <v>217</v>
      </c>
      <c r="C236" s="19" t="s">
        <v>101</v>
      </c>
      <c r="D236" s="17"/>
      <c r="E236" s="130">
        <v>4200</v>
      </c>
      <c r="F236" s="2"/>
      <c r="G236" s="2"/>
      <c r="H236" s="10"/>
    </row>
    <row r="237" spans="1:8" s="145" customFormat="1" hidden="1" x14ac:dyDescent="0.25">
      <c r="A237" s="136" t="s">
        <v>217</v>
      </c>
      <c r="B237" s="136" t="s">
        <v>217</v>
      </c>
      <c r="C237" s="19" t="s">
        <v>50</v>
      </c>
      <c r="D237" s="17"/>
      <c r="E237" s="130">
        <v>950</v>
      </c>
      <c r="F237" s="2"/>
      <c r="G237" s="2"/>
      <c r="H237" s="10"/>
    </row>
    <row r="238" spans="1:8" s="145" customFormat="1" hidden="1" x14ac:dyDescent="0.25">
      <c r="A238" s="136" t="s">
        <v>217</v>
      </c>
      <c r="B238" s="136" t="s">
        <v>217</v>
      </c>
      <c r="C238" s="19" t="s">
        <v>54</v>
      </c>
      <c r="D238" s="17"/>
      <c r="E238" s="130">
        <v>300</v>
      </c>
      <c r="F238" s="2"/>
      <c r="G238" s="2"/>
      <c r="H238" s="10"/>
    </row>
    <row r="239" spans="1:8" s="145" customFormat="1" ht="30" hidden="1" x14ac:dyDescent="0.25">
      <c r="A239" s="136" t="s">
        <v>217</v>
      </c>
      <c r="B239" s="136" t="s">
        <v>217</v>
      </c>
      <c r="C239" s="19" t="s">
        <v>148</v>
      </c>
      <c r="D239" s="17"/>
      <c r="E239" s="130">
        <v>96</v>
      </c>
      <c r="F239" s="2"/>
      <c r="G239" s="2"/>
      <c r="H239" s="10"/>
    </row>
    <row r="240" spans="1:8" s="145" customFormat="1" hidden="1" x14ac:dyDescent="0.25">
      <c r="A240" s="136" t="s">
        <v>217</v>
      </c>
      <c r="B240" s="136" t="s">
        <v>217</v>
      </c>
      <c r="C240" s="19" t="s">
        <v>188</v>
      </c>
      <c r="D240" s="17"/>
      <c r="E240" s="130">
        <v>6500</v>
      </c>
      <c r="F240" s="2"/>
      <c r="G240" s="2"/>
      <c r="H240" s="10"/>
    </row>
    <row r="241" spans="1:8" s="145" customFormat="1" ht="30" hidden="1" x14ac:dyDescent="0.25">
      <c r="A241" s="136" t="s">
        <v>217</v>
      </c>
      <c r="B241" s="136" t="s">
        <v>217</v>
      </c>
      <c r="C241" s="19" t="s">
        <v>199</v>
      </c>
      <c r="D241" s="17"/>
      <c r="E241" s="130">
        <v>250</v>
      </c>
      <c r="F241" s="2"/>
      <c r="G241" s="2"/>
      <c r="H241" s="10"/>
    </row>
    <row r="242" spans="1:8" s="145" customFormat="1" ht="30" hidden="1" x14ac:dyDescent="0.25">
      <c r="A242" s="136" t="s">
        <v>217</v>
      </c>
      <c r="B242" s="136" t="s">
        <v>217</v>
      </c>
      <c r="C242" s="19" t="s">
        <v>200</v>
      </c>
      <c r="D242" s="17"/>
      <c r="E242" s="130">
        <v>9000</v>
      </c>
      <c r="F242" s="2"/>
      <c r="G242" s="2"/>
      <c r="H242" s="10"/>
    </row>
    <row r="243" spans="1:8" s="145" customFormat="1" hidden="1" x14ac:dyDescent="0.25">
      <c r="A243" s="136" t="s">
        <v>217</v>
      </c>
      <c r="B243" s="136" t="s">
        <v>217</v>
      </c>
      <c r="C243" s="19" t="s">
        <v>15</v>
      </c>
      <c r="D243" s="17"/>
      <c r="E243" s="130">
        <v>380</v>
      </c>
      <c r="F243" s="2"/>
      <c r="G243" s="2"/>
      <c r="H243" s="10"/>
    </row>
    <row r="244" spans="1:8" s="145" customFormat="1" hidden="1" x14ac:dyDescent="0.25">
      <c r="A244" s="136" t="s">
        <v>217</v>
      </c>
      <c r="B244" s="136" t="s">
        <v>217</v>
      </c>
      <c r="C244" s="19" t="s">
        <v>51</v>
      </c>
      <c r="D244" s="17"/>
      <c r="E244" s="130">
        <v>3600</v>
      </c>
      <c r="F244" s="2"/>
      <c r="G244" s="2"/>
      <c r="H244" s="10"/>
    </row>
    <row r="245" spans="1:8" s="145" customFormat="1" ht="18.75" hidden="1" customHeight="1" x14ac:dyDescent="0.25">
      <c r="A245" s="136" t="s">
        <v>217</v>
      </c>
      <c r="B245" s="136" t="s">
        <v>217</v>
      </c>
      <c r="C245" s="19" t="s">
        <v>293</v>
      </c>
      <c r="D245" s="17"/>
      <c r="E245" s="130">
        <v>650</v>
      </c>
      <c r="F245" s="2"/>
      <c r="G245" s="2"/>
      <c r="H245" s="10"/>
    </row>
    <row r="246" spans="1:8" s="145" customFormat="1" hidden="1" x14ac:dyDescent="0.25">
      <c r="A246" s="136" t="s">
        <v>217</v>
      </c>
      <c r="B246" s="136" t="s">
        <v>217</v>
      </c>
      <c r="C246" s="19" t="s">
        <v>100</v>
      </c>
      <c r="D246" s="17"/>
      <c r="E246" s="130">
        <v>930</v>
      </c>
      <c r="F246" s="2"/>
      <c r="G246" s="2"/>
      <c r="H246" s="10"/>
    </row>
    <row r="247" spans="1:8" s="145" customFormat="1" hidden="1" x14ac:dyDescent="0.25">
      <c r="A247" s="136" t="s">
        <v>217</v>
      </c>
      <c r="B247" s="136" t="s">
        <v>217</v>
      </c>
      <c r="C247" s="19" t="s">
        <v>119</v>
      </c>
      <c r="D247" s="17"/>
      <c r="E247" s="130">
        <v>330</v>
      </c>
      <c r="F247" s="2"/>
      <c r="G247" s="2"/>
      <c r="H247" s="10"/>
    </row>
    <row r="248" spans="1:8" s="145" customFormat="1" ht="14.25" hidden="1" customHeight="1" x14ac:dyDescent="0.25">
      <c r="A248" s="136" t="s">
        <v>217</v>
      </c>
      <c r="B248" s="136" t="s">
        <v>217</v>
      </c>
      <c r="C248" s="21" t="s">
        <v>195</v>
      </c>
      <c r="D248" s="17"/>
      <c r="E248" s="130">
        <f>E205</f>
        <v>33820</v>
      </c>
      <c r="F248" s="2"/>
      <c r="G248" s="2"/>
      <c r="H248" s="10"/>
    </row>
    <row r="249" spans="1:8" s="145" customFormat="1" hidden="1" x14ac:dyDescent="0.25">
      <c r="A249" s="136" t="s">
        <v>217</v>
      </c>
      <c r="B249" s="136" t="s">
        <v>217</v>
      </c>
      <c r="C249" s="21" t="s">
        <v>197</v>
      </c>
      <c r="D249" s="17"/>
      <c r="E249" s="130">
        <f>E212</f>
        <v>7000</v>
      </c>
      <c r="F249" s="2"/>
      <c r="G249" s="2"/>
      <c r="H249" s="10"/>
    </row>
    <row r="250" spans="1:8" s="145" customFormat="1" ht="29.25" hidden="1" x14ac:dyDescent="0.25">
      <c r="A250" s="136" t="s">
        <v>217</v>
      </c>
      <c r="B250" s="136" t="s">
        <v>217</v>
      </c>
      <c r="C250" s="21" t="s">
        <v>198</v>
      </c>
      <c r="D250" s="17"/>
      <c r="E250" s="130">
        <f>E216</f>
        <v>3200</v>
      </c>
      <c r="F250" s="2"/>
      <c r="G250" s="2"/>
      <c r="H250" s="10"/>
    </row>
    <row r="251" spans="1:8" s="145" customFormat="1" ht="18" hidden="1" customHeight="1" x14ac:dyDescent="0.25">
      <c r="A251" s="136" t="s">
        <v>217</v>
      </c>
      <c r="B251" s="136" t="s">
        <v>217</v>
      </c>
      <c r="C251" s="22" t="s">
        <v>112</v>
      </c>
      <c r="D251" s="17"/>
      <c r="E251" s="146">
        <f>E250+E249*2.6+E248</f>
        <v>55220</v>
      </c>
      <c r="F251" s="2"/>
      <c r="G251" s="2"/>
      <c r="H251" s="10"/>
    </row>
    <row r="252" spans="1:8" s="145" customFormat="1" ht="15.75" hidden="1" x14ac:dyDescent="0.25">
      <c r="A252" s="136" t="s">
        <v>217</v>
      </c>
      <c r="B252" s="136" t="s">
        <v>217</v>
      </c>
      <c r="C252" s="23" t="s">
        <v>7</v>
      </c>
      <c r="D252" s="144"/>
      <c r="E252" s="130"/>
      <c r="F252" s="2"/>
      <c r="G252" s="2"/>
      <c r="H252" s="10"/>
    </row>
    <row r="253" spans="1:8" s="145" customFormat="1" ht="15.75" hidden="1" x14ac:dyDescent="0.25">
      <c r="A253" s="136" t="s">
        <v>217</v>
      </c>
      <c r="B253" s="136" t="s">
        <v>217</v>
      </c>
      <c r="C253" s="149" t="s">
        <v>93</v>
      </c>
      <c r="D253" s="144"/>
      <c r="E253" s="130"/>
      <c r="F253" s="2"/>
      <c r="G253" s="2"/>
      <c r="H253" s="10"/>
    </row>
    <row r="254" spans="1:8" s="145" customFormat="1" hidden="1" x14ac:dyDescent="0.25">
      <c r="A254" s="136" t="s">
        <v>217</v>
      </c>
      <c r="B254" s="136" t="s">
        <v>217</v>
      </c>
      <c r="C254" s="32" t="s">
        <v>97</v>
      </c>
      <c r="D254" s="139">
        <v>300</v>
      </c>
      <c r="E254" s="10">
        <v>1180</v>
      </c>
      <c r="F254" s="140">
        <v>9.8000000000000007</v>
      </c>
      <c r="G254" s="2">
        <f>ROUND(H254/D254,0)</f>
        <v>39</v>
      </c>
      <c r="H254" s="10">
        <f>ROUND(E254*F254,0)</f>
        <v>11564</v>
      </c>
    </row>
    <row r="255" spans="1:8" s="145" customFormat="1" ht="15.75" hidden="1" x14ac:dyDescent="0.25">
      <c r="A255" s="136" t="s">
        <v>217</v>
      </c>
      <c r="B255" s="136" t="s">
        <v>217</v>
      </c>
      <c r="C255" s="154" t="s">
        <v>9</v>
      </c>
      <c r="D255" s="144"/>
      <c r="E255" s="178">
        <f>E254</f>
        <v>1180</v>
      </c>
      <c r="F255" s="151">
        <f>H255/E255</f>
        <v>9.8000000000000007</v>
      </c>
      <c r="G255" s="156">
        <f>G254</f>
        <v>39</v>
      </c>
      <c r="H255" s="156">
        <f>H254</f>
        <v>11564</v>
      </c>
    </row>
    <row r="256" spans="1:8" s="145" customFormat="1" ht="15.75" hidden="1" x14ac:dyDescent="0.25">
      <c r="A256" s="136" t="s">
        <v>217</v>
      </c>
      <c r="B256" s="136" t="s">
        <v>217</v>
      </c>
      <c r="C256" s="149" t="s">
        <v>18</v>
      </c>
      <c r="D256" s="139"/>
      <c r="E256" s="130"/>
      <c r="F256" s="140"/>
      <c r="G256" s="2"/>
      <c r="H256" s="10"/>
    </row>
    <row r="257" spans="1:8" s="145" customFormat="1" hidden="1" x14ac:dyDescent="0.25">
      <c r="A257" s="136" t="s">
        <v>217</v>
      </c>
      <c r="B257" s="136" t="s">
        <v>217</v>
      </c>
      <c r="C257" s="25" t="s">
        <v>21</v>
      </c>
      <c r="D257" s="139">
        <v>240</v>
      </c>
      <c r="E257" s="10">
        <v>1035</v>
      </c>
      <c r="F257" s="140">
        <v>4</v>
      </c>
      <c r="G257" s="2">
        <f>ROUND(H257/D257,0)</f>
        <v>17</v>
      </c>
      <c r="H257" s="10">
        <f>ROUND(E257*F257,0)</f>
        <v>4140</v>
      </c>
    </row>
    <row r="258" spans="1:8" s="145" customFormat="1" hidden="1" x14ac:dyDescent="0.25">
      <c r="A258" s="136" t="s">
        <v>217</v>
      </c>
      <c r="B258" s="136" t="s">
        <v>217</v>
      </c>
      <c r="C258" s="25" t="s">
        <v>22</v>
      </c>
      <c r="D258" s="139">
        <v>240</v>
      </c>
      <c r="E258" s="10">
        <v>10</v>
      </c>
      <c r="F258" s="140">
        <v>7</v>
      </c>
      <c r="G258" s="2">
        <f>ROUND(H258/D258,0)</f>
        <v>0</v>
      </c>
      <c r="H258" s="10">
        <f>ROUND(E258*F258,0)</f>
        <v>70</v>
      </c>
    </row>
    <row r="259" spans="1:8" s="145" customFormat="1" ht="15.75" hidden="1" x14ac:dyDescent="0.25">
      <c r="A259" s="136" t="s">
        <v>217</v>
      </c>
      <c r="B259" s="136" t="s">
        <v>217</v>
      </c>
      <c r="C259" s="154" t="s">
        <v>94</v>
      </c>
      <c r="D259" s="200"/>
      <c r="E259" s="11">
        <f>SUM(E257:E258)</f>
        <v>1045</v>
      </c>
      <c r="F259" s="151">
        <f>H259/E259</f>
        <v>4.0287081339712918</v>
      </c>
      <c r="G259" s="156">
        <f>SUM(G257:G258)</f>
        <v>17</v>
      </c>
      <c r="H259" s="156">
        <f>SUM(H257:H258)</f>
        <v>4210</v>
      </c>
    </row>
    <row r="260" spans="1:8" s="145" customFormat="1" ht="18.75" hidden="1" customHeight="1" x14ac:dyDescent="0.25">
      <c r="A260" s="136" t="s">
        <v>217</v>
      </c>
      <c r="B260" s="136" t="s">
        <v>217</v>
      </c>
      <c r="C260" s="26" t="s">
        <v>88</v>
      </c>
      <c r="D260" s="157"/>
      <c r="E260" s="156">
        <f>E259+E255</f>
        <v>2225</v>
      </c>
      <c r="F260" s="201">
        <f>H260/E260</f>
        <v>7.0894382022471909</v>
      </c>
      <c r="G260" s="34">
        <f>G259+G255</f>
        <v>56</v>
      </c>
      <c r="H260" s="34">
        <f>H259+H255</f>
        <v>15774</v>
      </c>
    </row>
    <row r="261" spans="1:8" s="145" customFormat="1" ht="15.75" hidden="1" x14ac:dyDescent="0.25">
      <c r="A261" s="136" t="s">
        <v>217</v>
      </c>
      <c r="B261" s="136" t="s">
        <v>217</v>
      </c>
      <c r="C261" s="26"/>
      <c r="D261" s="157"/>
      <c r="E261" s="156"/>
      <c r="F261" s="202"/>
      <c r="G261" s="156"/>
      <c r="H261" s="156"/>
    </row>
    <row r="262" spans="1:8" s="145" customFormat="1" ht="30" hidden="1" x14ac:dyDescent="0.25">
      <c r="A262" s="136" t="s">
        <v>217</v>
      </c>
      <c r="B262" s="136" t="s">
        <v>217</v>
      </c>
      <c r="C262" s="203" t="s">
        <v>278</v>
      </c>
      <c r="D262" s="157"/>
      <c r="E262" s="10"/>
      <c r="F262" s="202"/>
      <c r="G262" s="156"/>
      <c r="H262" s="156"/>
    </row>
    <row r="263" spans="1:8" s="145" customFormat="1" ht="30.75" hidden="1" customHeight="1" x14ac:dyDescent="0.25">
      <c r="A263" s="136" t="s">
        <v>217</v>
      </c>
      <c r="B263" s="136" t="s">
        <v>217</v>
      </c>
      <c r="C263" s="129" t="s">
        <v>266</v>
      </c>
      <c r="D263" s="159"/>
      <c r="E263" s="146">
        <f>SUM(E262)</f>
        <v>0</v>
      </c>
      <c r="F263" s="202"/>
      <c r="G263" s="156"/>
      <c r="H263" s="156"/>
    </row>
    <row r="264" spans="1:8" s="145" customFormat="1" ht="31.5" hidden="1" x14ac:dyDescent="0.25">
      <c r="A264" s="136" t="s">
        <v>217</v>
      </c>
      <c r="B264" s="136" t="s">
        <v>217</v>
      </c>
      <c r="C264" s="27" t="s">
        <v>189</v>
      </c>
      <c r="D264" s="204"/>
      <c r="E264" s="692">
        <v>5</v>
      </c>
      <c r="F264" s="158"/>
      <c r="G264" s="11"/>
      <c r="H264" s="11"/>
    </row>
    <row r="265" spans="1:8" s="145" customFormat="1" ht="15.75" hidden="1" x14ac:dyDescent="0.25">
      <c r="A265" s="136" t="s">
        <v>217</v>
      </c>
      <c r="B265" s="136" t="s">
        <v>217</v>
      </c>
      <c r="C265" s="27" t="s">
        <v>185</v>
      </c>
      <c r="D265" s="157"/>
      <c r="E265" s="692">
        <v>1</v>
      </c>
      <c r="F265" s="158"/>
      <c r="G265" s="11"/>
      <c r="H265" s="11"/>
    </row>
    <row r="266" spans="1:8" s="145" customFormat="1" ht="15.75" hidden="1" x14ac:dyDescent="0.25">
      <c r="A266" s="136" t="s">
        <v>217</v>
      </c>
      <c r="B266" s="136" t="s">
        <v>217</v>
      </c>
      <c r="C266" s="27" t="s">
        <v>190</v>
      </c>
      <c r="D266" s="157"/>
      <c r="E266" s="692">
        <v>5</v>
      </c>
      <c r="F266" s="158"/>
      <c r="G266" s="11"/>
      <c r="H266" s="11"/>
    </row>
    <row r="267" spans="1:8" s="145" customFormat="1" ht="31.5" hidden="1" customHeight="1" x14ac:dyDescent="0.25">
      <c r="A267" s="136" t="s">
        <v>217</v>
      </c>
      <c r="B267" s="136" t="s">
        <v>217</v>
      </c>
      <c r="C267" s="27" t="s">
        <v>187</v>
      </c>
      <c r="D267" s="157"/>
      <c r="E267" s="692">
        <v>5</v>
      </c>
      <c r="F267" s="158"/>
      <c r="G267" s="11"/>
      <c r="H267" s="11"/>
    </row>
    <row r="268" spans="1:8" s="145" customFormat="1" ht="15.75" hidden="1" x14ac:dyDescent="0.25">
      <c r="A268" s="136" t="s">
        <v>217</v>
      </c>
      <c r="B268" s="136" t="s">
        <v>217</v>
      </c>
      <c r="C268" s="27" t="s">
        <v>191</v>
      </c>
      <c r="D268" s="157"/>
      <c r="E268" s="692">
        <v>5</v>
      </c>
      <c r="F268" s="158"/>
      <c r="G268" s="11"/>
      <c r="H268" s="11"/>
    </row>
    <row r="269" spans="1:8" s="145" customFormat="1" ht="31.5" hidden="1" x14ac:dyDescent="0.25">
      <c r="A269" s="136" t="s">
        <v>217</v>
      </c>
      <c r="B269" s="136" t="s">
        <v>217</v>
      </c>
      <c r="C269" s="27" t="s">
        <v>186</v>
      </c>
      <c r="D269" s="157"/>
      <c r="E269" s="692">
        <v>20</v>
      </c>
      <c r="F269" s="158"/>
      <c r="G269" s="11"/>
      <c r="H269" s="11"/>
    </row>
    <row r="270" spans="1:8" s="145" customFormat="1" ht="15.75" hidden="1" x14ac:dyDescent="0.25">
      <c r="A270" s="136" t="s">
        <v>217</v>
      </c>
      <c r="B270" s="136" t="s">
        <v>217</v>
      </c>
      <c r="C270" s="27" t="s">
        <v>96</v>
      </c>
      <c r="D270" s="157"/>
      <c r="E270" s="692">
        <v>40</v>
      </c>
      <c r="F270" s="158"/>
      <c r="G270" s="11"/>
      <c r="H270" s="11"/>
    </row>
    <row r="271" spans="1:8" s="145" customFormat="1" ht="15.75" hidden="1" thickBot="1" x14ac:dyDescent="0.3">
      <c r="A271" s="136" t="s">
        <v>217</v>
      </c>
      <c r="B271" s="136" t="s">
        <v>217</v>
      </c>
      <c r="C271" s="162" t="s">
        <v>166</v>
      </c>
      <c r="D271" s="694"/>
      <c r="E271" s="183">
        <f>SUM(E264:E270)</f>
        <v>81</v>
      </c>
      <c r="F271" s="695"/>
      <c r="G271" s="167"/>
      <c r="H271" s="191"/>
    </row>
    <row r="272" spans="1:8" s="173" customFormat="1" ht="16.5" hidden="1" customHeight="1" thickBot="1" x14ac:dyDescent="0.3">
      <c r="A272" s="136" t="s">
        <v>217</v>
      </c>
      <c r="B272" s="136" t="s">
        <v>217</v>
      </c>
      <c r="C272" s="168" t="s">
        <v>213</v>
      </c>
      <c r="D272" s="169"/>
      <c r="E272" s="205"/>
      <c r="F272" s="172"/>
      <c r="G272" s="171"/>
      <c r="H272" s="206"/>
    </row>
    <row r="273" spans="1:8" ht="16.5" hidden="1" customHeight="1" x14ac:dyDescent="0.25">
      <c r="A273" s="131">
        <v>1</v>
      </c>
      <c r="C273" s="198"/>
      <c r="D273" s="175"/>
      <c r="E273" s="130"/>
      <c r="F273" s="10"/>
      <c r="G273" s="10"/>
      <c r="H273" s="10"/>
    </row>
    <row r="274" spans="1:8" ht="43.5" hidden="1" x14ac:dyDescent="0.25">
      <c r="A274" s="131">
        <v>1</v>
      </c>
      <c r="B274" s="136" t="s">
        <v>218</v>
      </c>
      <c r="C274" s="686" t="s">
        <v>307</v>
      </c>
      <c r="D274" s="139"/>
      <c r="E274" s="130"/>
      <c r="F274" s="10"/>
      <c r="G274" s="10"/>
      <c r="H274" s="10"/>
    </row>
    <row r="275" spans="1:8" ht="16.5" hidden="1" customHeight="1" x14ac:dyDescent="0.25">
      <c r="A275" s="131">
        <v>1</v>
      </c>
      <c r="B275" s="136" t="s">
        <v>218</v>
      </c>
      <c r="C275" s="137" t="s">
        <v>4</v>
      </c>
      <c r="D275" s="139"/>
      <c r="E275" s="130"/>
      <c r="F275" s="10"/>
      <c r="G275" s="10"/>
      <c r="H275" s="10"/>
    </row>
    <row r="276" spans="1:8" ht="16.5" hidden="1" customHeight="1" x14ac:dyDescent="0.25">
      <c r="A276" s="131">
        <v>1</v>
      </c>
      <c r="B276" s="136" t="s">
        <v>218</v>
      </c>
      <c r="C276" s="141" t="s">
        <v>66</v>
      </c>
      <c r="D276" s="139">
        <v>320</v>
      </c>
      <c r="E276" s="10">
        <v>75</v>
      </c>
      <c r="F276" s="140">
        <v>8.5</v>
      </c>
      <c r="G276" s="2">
        <f t="shared" ref="G276:G289" si="10">ROUND(H276/D276,0)</f>
        <v>2</v>
      </c>
      <c r="H276" s="10">
        <f t="shared" ref="H276:H288" si="11">ROUND(E276*F276,0)</f>
        <v>638</v>
      </c>
    </row>
    <row r="277" spans="1:8" ht="18" hidden="1" customHeight="1" x14ac:dyDescent="0.25">
      <c r="A277" s="131">
        <v>1</v>
      </c>
      <c r="B277" s="136" t="s">
        <v>218</v>
      </c>
      <c r="C277" s="141" t="s">
        <v>32</v>
      </c>
      <c r="D277" s="139">
        <v>320</v>
      </c>
      <c r="E277" s="10">
        <v>240</v>
      </c>
      <c r="F277" s="140">
        <v>8</v>
      </c>
      <c r="G277" s="2">
        <f t="shared" si="10"/>
        <v>6</v>
      </c>
      <c r="H277" s="10">
        <f t="shared" si="11"/>
        <v>1920</v>
      </c>
    </row>
    <row r="278" spans="1:8" ht="18" hidden="1" customHeight="1" x14ac:dyDescent="0.25">
      <c r="A278" s="131">
        <v>1</v>
      </c>
      <c r="B278" s="136" t="s">
        <v>218</v>
      </c>
      <c r="C278" s="141" t="s">
        <v>65</v>
      </c>
      <c r="D278" s="139">
        <v>320</v>
      </c>
      <c r="E278" s="10">
        <v>147</v>
      </c>
      <c r="F278" s="140">
        <v>13</v>
      </c>
      <c r="G278" s="2">
        <f t="shared" si="10"/>
        <v>6</v>
      </c>
      <c r="H278" s="10">
        <f t="shared" si="11"/>
        <v>1911</v>
      </c>
    </row>
    <row r="279" spans="1:8" ht="15.75" hidden="1" customHeight="1" x14ac:dyDescent="0.25">
      <c r="A279" s="131">
        <v>1</v>
      </c>
      <c r="B279" s="136" t="s">
        <v>218</v>
      </c>
      <c r="C279" s="141" t="s">
        <v>25</v>
      </c>
      <c r="D279" s="139">
        <v>310</v>
      </c>
      <c r="E279" s="10">
        <f>3552</f>
        <v>3552</v>
      </c>
      <c r="F279" s="140">
        <v>5.5</v>
      </c>
      <c r="G279" s="2">
        <f t="shared" si="10"/>
        <v>63</v>
      </c>
      <c r="H279" s="10">
        <f t="shared" si="11"/>
        <v>19536</v>
      </c>
    </row>
    <row r="280" spans="1:8" ht="15.75" hidden="1" customHeight="1" x14ac:dyDescent="0.25">
      <c r="A280" s="131">
        <v>1</v>
      </c>
      <c r="B280" s="136" t="s">
        <v>218</v>
      </c>
      <c r="C280" s="141" t="s">
        <v>61</v>
      </c>
      <c r="D280" s="139">
        <v>320</v>
      </c>
      <c r="E280" s="10">
        <v>293</v>
      </c>
      <c r="F280" s="140">
        <v>12</v>
      </c>
      <c r="G280" s="2">
        <f t="shared" si="10"/>
        <v>11</v>
      </c>
      <c r="H280" s="10">
        <f t="shared" si="11"/>
        <v>3516</v>
      </c>
    </row>
    <row r="281" spans="1:8" ht="18.75" hidden="1" customHeight="1" x14ac:dyDescent="0.25">
      <c r="A281" s="131">
        <v>1</v>
      </c>
      <c r="B281" s="136" t="s">
        <v>218</v>
      </c>
      <c r="C281" s="141" t="s">
        <v>67</v>
      </c>
      <c r="D281" s="139">
        <v>320</v>
      </c>
      <c r="E281" s="10">
        <f>302+6</f>
        <v>308</v>
      </c>
      <c r="F281" s="140">
        <v>18</v>
      </c>
      <c r="G281" s="2">
        <f t="shared" si="10"/>
        <v>17</v>
      </c>
      <c r="H281" s="10">
        <f t="shared" si="11"/>
        <v>5544</v>
      </c>
    </row>
    <row r="282" spans="1:8" ht="18" hidden="1" customHeight="1" x14ac:dyDescent="0.25">
      <c r="A282" s="131">
        <v>1</v>
      </c>
      <c r="B282" s="136" t="s">
        <v>218</v>
      </c>
      <c r="C282" s="141" t="s">
        <v>60</v>
      </c>
      <c r="D282" s="139">
        <v>320</v>
      </c>
      <c r="E282" s="10">
        <v>426</v>
      </c>
      <c r="F282" s="140">
        <v>12</v>
      </c>
      <c r="G282" s="2">
        <f t="shared" si="10"/>
        <v>16</v>
      </c>
      <c r="H282" s="10">
        <f t="shared" si="11"/>
        <v>5112</v>
      </c>
    </row>
    <row r="283" spans="1:8" ht="15.75" hidden="1" customHeight="1" x14ac:dyDescent="0.25">
      <c r="A283" s="131">
        <v>1</v>
      </c>
      <c r="B283" s="136" t="s">
        <v>218</v>
      </c>
      <c r="C283" s="141" t="s">
        <v>113</v>
      </c>
      <c r="D283" s="139">
        <v>320</v>
      </c>
      <c r="E283" s="10">
        <v>886</v>
      </c>
      <c r="F283" s="140">
        <v>13</v>
      </c>
      <c r="G283" s="2">
        <f t="shared" si="10"/>
        <v>36</v>
      </c>
      <c r="H283" s="10">
        <f t="shared" si="11"/>
        <v>11518</v>
      </c>
    </row>
    <row r="284" spans="1:8" ht="18" hidden="1" customHeight="1" x14ac:dyDescent="0.25">
      <c r="A284" s="131">
        <v>1</v>
      </c>
      <c r="B284" s="136" t="s">
        <v>218</v>
      </c>
      <c r="C284" s="141" t="s">
        <v>42</v>
      </c>
      <c r="D284" s="139">
        <v>320</v>
      </c>
      <c r="E284" s="10">
        <v>250</v>
      </c>
      <c r="F284" s="140">
        <v>11.5</v>
      </c>
      <c r="G284" s="2">
        <f t="shared" si="10"/>
        <v>9</v>
      </c>
      <c r="H284" s="10">
        <f t="shared" si="11"/>
        <v>2875</v>
      </c>
    </row>
    <row r="285" spans="1:8" ht="15.75" hidden="1" customHeight="1" x14ac:dyDescent="0.25">
      <c r="A285" s="131">
        <v>1</v>
      </c>
      <c r="B285" s="136" t="s">
        <v>218</v>
      </c>
      <c r="C285" s="141" t="s">
        <v>58</v>
      </c>
      <c r="D285" s="139">
        <v>320</v>
      </c>
      <c r="E285" s="10">
        <v>183</v>
      </c>
      <c r="F285" s="140">
        <v>7</v>
      </c>
      <c r="G285" s="2">
        <f t="shared" si="10"/>
        <v>4</v>
      </c>
      <c r="H285" s="10">
        <f t="shared" si="11"/>
        <v>1281</v>
      </c>
    </row>
    <row r="286" spans="1:8" ht="15.75" hidden="1" customHeight="1" x14ac:dyDescent="0.25">
      <c r="A286" s="131">
        <v>1</v>
      </c>
      <c r="B286" s="136" t="s">
        <v>218</v>
      </c>
      <c r="C286" s="141" t="s">
        <v>56</v>
      </c>
      <c r="D286" s="139">
        <v>320</v>
      </c>
      <c r="E286" s="10">
        <f>681</f>
        <v>681</v>
      </c>
      <c r="F286" s="140">
        <v>10.8</v>
      </c>
      <c r="G286" s="2">
        <f t="shared" si="10"/>
        <v>23</v>
      </c>
      <c r="H286" s="10">
        <f t="shared" si="11"/>
        <v>7355</v>
      </c>
    </row>
    <row r="287" spans="1:8" ht="18" hidden="1" customHeight="1" x14ac:dyDescent="0.25">
      <c r="A287" s="131">
        <v>1</v>
      </c>
      <c r="B287" s="136" t="s">
        <v>218</v>
      </c>
      <c r="C287" s="141" t="s">
        <v>11</v>
      </c>
      <c r="D287" s="139">
        <v>320</v>
      </c>
      <c r="E287" s="10">
        <f>868</f>
        <v>868</v>
      </c>
      <c r="F287" s="140">
        <v>7</v>
      </c>
      <c r="G287" s="2">
        <f t="shared" si="10"/>
        <v>19</v>
      </c>
      <c r="H287" s="10">
        <f>ROUND(E287*F287,0)</f>
        <v>6076</v>
      </c>
    </row>
    <row r="288" spans="1:8" ht="18" hidden="1" customHeight="1" x14ac:dyDescent="0.25">
      <c r="A288" s="131">
        <v>1</v>
      </c>
      <c r="B288" s="136" t="s">
        <v>218</v>
      </c>
      <c r="C288" s="141" t="s">
        <v>10</v>
      </c>
      <c r="D288" s="139">
        <v>320</v>
      </c>
      <c r="E288" s="10">
        <f>1554</f>
        <v>1554</v>
      </c>
      <c r="F288" s="177">
        <v>7</v>
      </c>
      <c r="G288" s="2">
        <f t="shared" si="10"/>
        <v>34</v>
      </c>
      <c r="H288" s="10">
        <f t="shared" si="11"/>
        <v>10878</v>
      </c>
    </row>
    <row r="289" spans="1:8" ht="15.75" hidden="1" customHeight="1" x14ac:dyDescent="0.25">
      <c r="A289" s="131">
        <v>1</v>
      </c>
      <c r="B289" s="136" t="s">
        <v>218</v>
      </c>
      <c r="C289" s="141" t="s">
        <v>33</v>
      </c>
      <c r="D289" s="139">
        <v>320</v>
      </c>
      <c r="E289" s="10">
        <v>672</v>
      </c>
      <c r="F289" s="177">
        <v>10</v>
      </c>
      <c r="G289" s="2">
        <f t="shared" si="10"/>
        <v>21</v>
      </c>
      <c r="H289" s="10">
        <f>ROUND(E289*F289,0)</f>
        <v>6720</v>
      </c>
    </row>
    <row r="290" spans="1:8" s="145" customFormat="1" ht="18" hidden="1" customHeight="1" x14ac:dyDescent="0.25">
      <c r="A290" s="131">
        <v>1</v>
      </c>
      <c r="B290" s="136" t="s">
        <v>218</v>
      </c>
      <c r="C290" s="143" t="s">
        <v>5</v>
      </c>
      <c r="D290" s="139"/>
      <c r="E290" s="11">
        <f>SUM(E276:E289)</f>
        <v>10135</v>
      </c>
      <c r="F290" s="207">
        <f>H290/E290</f>
        <v>8.3749383325110998</v>
      </c>
      <c r="G290" s="11">
        <f>SUM(G276:G289)</f>
        <v>267</v>
      </c>
      <c r="H290" s="11">
        <f>SUM(H276:H289)</f>
        <v>84880</v>
      </c>
    </row>
    <row r="291" spans="1:8" s="145" customFormat="1" ht="18" hidden="1" customHeight="1" x14ac:dyDescent="0.25">
      <c r="A291" s="131"/>
      <c r="B291" s="136" t="s">
        <v>218</v>
      </c>
      <c r="C291" s="143" t="s">
        <v>207</v>
      </c>
      <c r="D291" s="139">
        <f>E290-E291</f>
        <v>10015</v>
      </c>
      <c r="E291" s="11">
        <v>120</v>
      </c>
      <c r="F291" s="207"/>
      <c r="G291" s="11"/>
      <c r="H291" s="11"/>
    </row>
    <row r="292" spans="1:8" s="145" customFormat="1" ht="17.25" hidden="1" customHeight="1" x14ac:dyDescent="0.25">
      <c r="A292" s="131">
        <v>1</v>
      </c>
      <c r="B292" s="136" t="s">
        <v>218</v>
      </c>
      <c r="C292" s="12" t="s">
        <v>111</v>
      </c>
      <c r="D292" s="13"/>
      <c r="E292" s="130"/>
      <c r="F292" s="2"/>
      <c r="G292" s="2"/>
      <c r="H292" s="10"/>
    </row>
    <row r="293" spans="1:8" s="145" customFormat="1" hidden="1" x14ac:dyDescent="0.25">
      <c r="A293" s="131">
        <v>1</v>
      </c>
      <c r="B293" s="136" t="s">
        <v>218</v>
      </c>
      <c r="C293" s="12" t="s">
        <v>98</v>
      </c>
      <c r="D293" s="13"/>
      <c r="E293" s="130"/>
      <c r="F293" s="2"/>
      <c r="G293" s="2"/>
      <c r="H293" s="10"/>
    </row>
    <row r="294" spans="1:8" s="145" customFormat="1" ht="43.5" hidden="1" x14ac:dyDescent="0.25">
      <c r="A294" s="131"/>
      <c r="B294" s="136" t="s">
        <v>218</v>
      </c>
      <c r="C294" s="14" t="s">
        <v>258</v>
      </c>
      <c r="D294" s="13"/>
      <c r="E294" s="146">
        <f>E295+E296+E299+E300+E301*10</f>
        <v>61900</v>
      </c>
      <c r="F294" s="2"/>
      <c r="G294" s="2"/>
      <c r="H294" s="10"/>
    </row>
    <row r="295" spans="1:8" s="145" customFormat="1" hidden="1" x14ac:dyDescent="0.25">
      <c r="A295" s="131"/>
      <c r="B295" s="136" t="s">
        <v>218</v>
      </c>
      <c r="C295" s="15" t="s">
        <v>252</v>
      </c>
      <c r="D295" s="13"/>
      <c r="E295" s="130">
        <v>2000</v>
      </c>
      <c r="F295" s="2"/>
      <c r="G295" s="2"/>
      <c r="H295" s="10"/>
    </row>
    <row r="296" spans="1:8" s="145" customFormat="1" ht="30" hidden="1" x14ac:dyDescent="0.25">
      <c r="A296" s="131"/>
      <c r="B296" s="136" t="s">
        <v>218</v>
      </c>
      <c r="C296" s="16" t="s">
        <v>388</v>
      </c>
      <c r="D296" s="13"/>
      <c r="E296" s="130">
        <f>E297+E298</f>
        <v>55900</v>
      </c>
      <c r="F296" s="2"/>
      <c r="G296" s="2"/>
      <c r="H296" s="10"/>
    </row>
    <row r="297" spans="1:8" s="145" customFormat="1" hidden="1" x14ac:dyDescent="0.25">
      <c r="A297" s="131"/>
      <c r="B297" s="136" t="s">
        <v>218</v>
      </c>
      <c r="C297" s="15" t="s">
        <v>389</v>
      </c>
      <c r="D297" s="13"/>
      <c r="E297" s="130">
        <v>43900</v>
      </c>
      <c r="F297" s="10"/>
      <c r="G297" s="10"/>
      <c r="H297" s="10"/>
    </row>
    <row r="298" spans="1:8" s="145" customFormat="1" ht="45" hidden="1" x14ac:dyDescent="0.25">
      <c r="A298" s="131"/>
      <c r="B298" s="136" t="s">
        <v>218</v>
      </c>
      <c r="C298" s="15" t="s">
        <v>391</v>
      </c>
      <c r="D298" s="13"/>
      <c r="E298" s="130">
        <v>12000</v>
      </c>
      <c r="F298" s="2"/>
      <c r="G298" s="2"/>
      <c r="H298" s="10"/>
    </row>
    <row r="299" spans="1:8" s="145" customFormat="1" ht="60" hidden="1" x14ac:dyDescent="0.25">
      <c r="A299" s="131"/>
      <c r="B299" s="136" t="s">
        <v>218</v>
      </c>
      <c r="C299" s="15" t="s">
        <v>392</v>
      </c>
      <c r="D299" s="13"/>
      <c r="E299" s="130"/>
      <c r="F299" s="2"/>
      <c r="G299" s="2"/>
      <c r="H299" s="10"/>
    </row>
    <row r="300" spans="1:8" s="145" customFormat="1" ht="45" hidden="1" x14ac:dyDescent="0.25">
      <c r="A300" s="131"/>
      <c r="B300" s="136" t="s">
        <v>218</v>
      </c>
      <c r="C300" s="18" t="s">
        <v>393</v>
      </c>
      <c r="D300" s="13"/>
      <c r="E300" s="130">
        <v>3500</v>
      </c>
      <c r="F300" s="2"/>
      <c r="G300" s="2"/>
      <c r="H300" s="10"/>
    </row>
    <row r="301" spans="1:8" s="145" customFormat="1" ht="28.5" hidden="1" x14ac:dyDescent="0.25">
      <c r="A301" s="131"/>
      <c r="B301" s="136"/>
      <c r="C301" s="617" t="s">
        <v>422</v>
      </c>
      <c r="D301" s="13"/>
      <c r="E301" s="146">
        <f>E302</f>
        <v>50</v>
      </c>
      <c r="F301" s="29"/>
      <c r="G301" s="29"/>
      <c r="H301" s="11"/>
    </row>
    <row r="302" spans="1:8" s="145" customFormat="1" ht="30" hidden="1" x14ac:dyDescent="0.25">
      <c r="A302" s="131"/>
      <c r="B302" s="136"/>
      <c r="C302" s="18" t="s">
        <v>425</v>
      </c>
      <c r="D302" s="13"/>
      <c r="E302" s="130">
        <v>50</v>
      </c>
      <c r="F302" s="2"/>
      <c r="G302" s="2"/>
      <c r="H302" s="10"/>
    </row>
    <row r="303" spans="1:8" s="145" customFormat="1" ht="31.5" hidden="1" customHeight="1" x14ac:dyDescent="0.25">
      <c r="A303" s="131"/>
      <c r="B303" s="136" t="s">
        <v>218</v>
      </c>
      <c r="C303" s="14" t="s">
        <v>260</v>
      </c>
      <c r="D303" s="13"/>
      <c r="E303" s="146">
        <f>E304</f>
        <v>4600</v>
      </c>
      <c r="F303" s="2"/>
      <c r="G303" s="2"/>
      <c r="H303" s="10"/>
    </row>
    <row r="304" spans="1:8" s="145" customFormat="1" ht="31.5" hidden="1" customHeight="1" x14ac:dyDescent="0.25">
      <c r="A304" s="131"/>
      <c r="B304" s="136"/>
      <c r="C304" s="14" t="s">
        <v>254</v>
      </c>
      <c r="D304" s="13"/>
      <c r="E304" s="146">
        <v>4600</v>
      </c>
      <c r="F304" s="2"/>
      <c r="G304" s="2"/>
      <c r="H304" s="10"/>
    </row>
    <row r="305" spans="1:8" s="145" customFormat="1" ht="29.25" hidden="1" x14ac:dyDescent="0.25">
      <c r="A305" s="131">
        <v>1</v>
      </c>
      <c r="B305" s="136" t="s">
        <v>218</v>
      </c>
      <c r="C305" s="14" t="s">
        <v>256</v>
      </c>
      <c r="D305" s="13"/>
      <c r="E305" s="130">
        <f>E306</f>
        <v>25000</v>
      </c>
      <c r="F305" s="2"/>
      <c r="G305" s="2"/>
      <c r="H305" s="10"/>
    </row>
    <row r="306" spans="1:8" s="145" customFormat="1" ht="30" hidden="1" x14ac:dyDescent="0.25">
      <c r="A306" s="131">
        <v>1</v>
      </c>
      <c r="B306" s="136" t="s">
        <v>218</v>
      </c>
      <c r="C306" s="19" t="s">
        <v>117</v>
      </c>
      <c r="D306" s="13"/>
      <c r="E306" s="130">
        <v>25000</v>
      </c>
      <c r="F306" s="2"/>
      <c r="G306" s="2"/>
      <c r="H306" s="10"/>
    </row>
    <row r="307" spans="1:8" s="145" customFormat="1" ht="57.75" hidden="1" x14ac:dyDescent="0.25">
      <c r="A307" s="131">
        <v>1</v>
      </c>
      <c r="B307" s="136" t="s">
        <v>218</v>
      </c>
      <c r="C307" s="14" t="s">
        <v>257</v>
      </c>
      <c r="D307" s="13"/>
      <c r="E307" s="130">
        <v>13000</v>
      </c>
      <c r="F307" s="2"/>
      <c r="G307" s="2"/>
      <c r="H307" s="10"/>
    </row>
    <row r="308" spans="1:8" s="145" customFormat="1" ht="15.75" hidden="1" x14ac:dyDescent="0.25">
      <c r="A308" s="131">
        <v>1</v>
      </c>
      <c r="B308" s="136" t="s">
        <v>218</v>
      </c>
      <c r="C308" s="208" t="s">
        <v>165</v>
      </c>
      <c r="D308" s="13"/>
      <c r="E308" s="146">
        <f>SUM(E309:E326)</f>
        <v>20860</v>
      </c>
      <c r="F308" s="2"/>
      <c r="G308" s="2"/>
      <c r="H308" s="10"/>
    </row>
    <row r="309" spans="1:8" s="145" customFormat="1" hidden="1" x14ac:dyDescent="0.25">
      <c r="A309" s="131">
        <v>1</v>
      </c>
      <c r="B309" s="136" t="s">
        <v>218</v>
      </c>
      <c r="C309" s="147" t="s">
        <v>17</v>
      </c>
      <c r="D309" s="13"/>
      <c r="E309" s="130">
        <v>600</v>
      </c>
      <c r="F309" s="2"/>
      <c r="G309" s="2"/>
      <c r="H309" s="10"/>
    </row>
    <row r="310" spans="1:8" s="145" customFormat="1" ht="30" hidden="1" x14ac:dyDescent="0.25">
      <c r="A310" s="131">
        <v>1</v>
      </c>
      <c r="B310" s="136" t="s">
        <v>218</v>
      </c>
      <c r="C310" s="148" t="s">
        <v>139</v>
      </c>
      <c r="D310" s="13"/>
      <c r="E310" s="130">
        <v>280</v>
      </c>
      <c r="F310" s="2"/>
      <c r="G310" s="2"/>
      <c r="H310" s="10"/>
    </row>
    <row r="311" spans="1:8" s="145" customFormat="1" hidden="1" x14ac:dyDescent="0.25">
      <c r="A311" s="131">
        <v>1</v>
      </c>
      <c r="B311" s="136" t="s">
        <v>218</v>
      </c>
      <c r="C311" s="209" t="s">
        <v>147</v>
      </c>
      <c r="D311" s="13"/>
      <c r="E311" s="130">
        <v>4000</v>
      </c>
      <c r="F311" s="2"/>
      <c r="G311" s="2"/>
      <c r="H311" s="10"/>
    </row>
    <row r="312" spans="1:8" s="145" customFormat="1" ht="60" hidden="1" x14ac:dyDescent="0.25">
      <c r="A312" s="131"/>
      <c r="B312" s="136"/>
      <c r="C312" s="147" t="s">
        <v>290</v>
      </c>
      <c r="D312" s="13"/>
      <c r="E312" s="130">
        <v>50</v>
      </c>
      <c r="F312" s="2"/>
      <c r="G312" s="2"/>
      <c r="H312" s="10"/>
    </row>
    <row r="313" spans="1:8" s="145" customFormat="1" ht="45" hidden="1" x14ac:dyDescent="0.25">
      <c r="A313" s="131"/>
      <c r="B313" s="136"/>
      <c r="C313" s="147" t="s">
        <v>291</v>
      </c>
      <c r="D313" s="13"/>
      <c r="E313" s="130">
        <v>30</v>
      </c>
      <c r="F313" s="2"/>
      <c r="G313" s="2"/>
      <c r="H313" s="10"/>
    </row>
    <row r="314" spans="1:8" s="145" customFormat="1" ht="75" hidden="1" x14ac:dyDescent="0.25">
      <c r="A314" s="131"/>
      <c r="B314" s="136"/>
      <c r="C314" s="210" t="s">
        <v>267</v>
      </c>
      <c r="D314" s="13"/>
      <c r="E314" s="130">
        <v>300</v>
      </c>
      <c r="F314" s="2"/>
      <c r="G314" s="2"/>
      <c r="H314" s="10"/>
    </row>
    <row r="315" spans="1:8" s="145" customFormat="1" hidden="1" x14ac:dyDescent="0.25">
      <c r="A315" s="131">
        <v>1</v>
      </c>
      <c r="B315" s="136" t="s">
        <v>218</v>
      </c>
      <c r="C315" s="211" t="s">
        <v>50</v>
      </c>
      <c r="D315" s="13"/>
      <c r="E315" s="130">
        <v>2000</v>
      </c>
      <c r="F315" s="2"/>
      <c r="G315" s="2"/>
      <c r="H315" s="10"/>
    </row>
    <row r="316" spans="1:8" s="145" customFormat="1" hidden="1" x14ac:dyDescent="0.25">
      <c r="A316" s="131">
        <v>1</v>
      </c>
      <c r="B316" s="136" t="s">
        <v>218</v>
      </c>
      <c r="C316" s="211" t="s">
        <v>52</v>
      </c>
      <c r="D316" s="13"/>
      <c r="E316" s="130">
        <v>600</v>
      </c>
      <c r="F316" s="2"/>
      <c r="G316" s="2"/>
      <c r="H316" s="10"/>
    </row>
    <row r="317" spans="1:8" s="145" customFormat="1" ht="30" hidden="1" x14ac:dyDescent="0.25">
      <c r="A317" s="131">
        <v>1</v>
      </c>
      <c r="B317" s="136" t="s">
        <v>218</v>
      </c>
      <c r="C317" s="209" t="s">
        <v>148</v>
      </c>
      <c r="D317" s="13"/>
      <c r="E317" s="130">
        <v>50</v>
      </c>
      <c r="F317" s="2"/>
      <c r="G317" s="2"/>
      <c r="H317" s="10"/>
    </row>
    <row r="318" spans="1:8" s="145" customFormat="1" hidden="1" x14ac:dyDescent="0.25">
      <c r="A318" s="131">
        <v>1</v>
      </c>
      <c r="B318" s="136" t="s">
        <v>218</v>
      </c>
      <c r="C318" s="148" t="s">
        <v>188</v>
      </c>
      <c r="D318" s="13"/>
      <c r="E318" s="130">
        <v>5300</v>
      </c>
      <c r="F318" s="2"/>
      <c r="G318" s="2"/>
      <c r="H318" s="10"/>
    </row>
    <row r="319" spans="1:8" s="145" customFormat="1" ht="30" hidden="1" x14ac:dyDescent="0.25">
      <c r="A319" s="131"/>
      <c r="B319" s="136" t="s">
        <v>218</v>
      </c>
      <c r="C319" s="209" t="s">
        <v>200</v>
      </c>
      <c r="D319" s="13"/>
      <c r="E319" s="130">
        <v>2500</v>
      </c>
      <c r="F319" s="2"/>
      <c r="G319" s="2"/>
      <c r="H319" s="10"/>
    </row>
    <row r="320" spans="1:8" s="145" customFormat="1" ht="30" hidden="1" x14ac:dyDescent="0.25">
      <c r="A320" s="131"/>
      <c r="B320" s="136" t="s">
        <v>218</v>
      </c>
      <c r="C320" s="212" t="s">
        <v>199</v>
      </c>
      <c r="D320" s="13"/>
      <c r="E320" s="130">
        <v>1000</v>
      </c>
      <c r="F320" s="2"/>
      <c r="G320" s="2"/>
      <c r="H320" s="10"/>
    </row>
    <row r="321" spans="1:8" s="145" customFormat="1" hidden="1" x14ac:dyDescent="0.25">
      <c r="A321" s="131">
        <v>1</v>
      </c>
      <c r="B321" s="136" t="s">
        <v>218</v>
      </c>
      <c r="C321" s="209" t="s">
        <v>15</v>
      </c>
      <c r="D321" s="13"/>
      <c r="E321" s="130">
        <v>50</v>
      </c>
      <c r="F321" s="2"/>
      <c r="G321" s="2"/>
      <c r="H321" s="10"/>
    </row>
    <row r="322" spans="1:8" s="145" customFormat="1" hidden="1" x14ac:dyDescent="0.25">
      <c r="A322" s="131">
        <v>1</v>
      </c>
      <c r="B322" s="136" t="s">
        <v>218</v>
      </c>
      <c r="C322" s="209" t="s">
        <v>27</v>
      </c>
      <c r="D322" s="13"/>
      <c r="E322" s="130">
        <v>400</v>
      </c>
      <c r="F322" s="2"/>
      <c r="G322" s="2"/>
      <c r="H322" s="10"/>
    </row>
    <row r="323" spans="1:8" s="145" customFormat="1" hidden="1" x14ac:dyDescent="0.25">
      <c r="A323" s="131">
        <v>1</v>
      </c>
      <c r="B323" s="136" t="s">
        <v>218</v>
      </c>
      <c r="C323" s="209" t="s">
        <v>51</v>
      </c>
      <c r="D323" s="13"/>
      <c r="E323" s="130">
        <v>1400</v>
      </c>
      <c r="F323" s="2"/>
      <c r="G323" s="2"/>
      <c r="H323" s="10"/>
    </row>
    <row r="324" spans="1:8" s="145" customFormat="1" hidden="1" x14ac:dyDescent="0.25">
      <c r="A324" s="131">
        <v>1</v>
      </c>
      <c r="B324" s="136" t="s">
        <v>218</v>
      </c>
      <c r="C324" s="209" t="s">
        <v>122</v>
      </c>
      <c r="D324" s="13"/>
      <c r="E324" s="130">
        <v>100</v>
      </c>
      <c r="F324" s="2"/>
      <c r="G324" s="2"/>
      <c r="H324" s="10"/>
    </row>
    <row r="325" spans="1:8" s="145" customFormat="1" hidden="1" x14ac:dyDescent="0.25">
      <c r="A325" s="131">
        <v>1</v>
      </c>
      <c r="B325" s="136" t="s">
        <v>218</v>
      </c>
      <c r="C325" s="209" t="s">
        <v>100</v>
      </c>
      <c r="D325" s="13"/>
      <c r="E325" s="130">
        <v>1450</v>
      </c>
      <c r="F325" s="2"/>
      <c r="G325" s="2"/>
      <c r="H325" s="10"/>
    </row>
    <row r="326" spans="1:8" s="145" customFormat="1" hidden="1" x14ac:dyDescent="0.25">
      <c r="A326" s="131">
        <v>1</v>
      </c>
      <c r="B326" s="136" t="s">
        <v>218</v>
      </c>
      <c r="C326" s="209" t="s">
        <v>119</v>
      </c>
      <c r="D326" s="13"/>
      <c r="E326" s="130">
        <v>750</v>
      </c>
      <c r="F326" s="2"/>
      <c r="G326" s="2"/>
      <c r="H326" s="10"/>
    </row>
    <row r="327" spans="1:8" s="145" customFormat="1" hidden="1" x14ac:dyDescent="0.25">
      <c r="A327" s="131"/>
      <c r="B327" s="136" t="s">
        <v>218</v>
      </c>
      <c r="C327" s="21" t="s">
        <v>195</v>
      </c>
      <c r="D327" s="13"/>
      <c r="E327" s="146">
        <f>E294</f>
        <v>61900</v>
      </c>
      <c r="F327" s="2"/>
      <c r="G327" s="2"/>
      <c r="H327" s="10"/>
    </row>
    <row r="328" spans="1:8" s="145" customFormat="1" hidden="1" x14ac:dyDescent="0.25">
      <c r="A328" s="131"/>
      <c r="B328" s="136" t="s">
        <v>218</v>
      </c>
      <c r="C328" s="21" t="s">
        <v>197</v>
      </c>
      <c r="D328" s="13"/>
      <c r="E328" s="146">
        <f>E303</f>
        <v>4600</v>
      </c>
      <c r="F328" s="2"/>
      <c r="G328" s="2"/>
      <c r="H328" s="10"/>
    </row>
    <row r="329" spans="1:8" s="145" customFormat="1" ht="29.25" hidden="1" x14ac:dyDescent="0.25">
      <c r="A329" s="131"/>
      <c r="B329" s="136" t="s">
        <v>218</v>
      </c>
      <c r="C329" s="21" t="s">
        <v>198</v>
      </c>
      <c r="D329" s="13"/>
      <c r="E329" s="146">
        <f>E307+E305</f>
        <v>38000</v>
      </c>
      <c r="F329" s="2"/>
      <c r="G329" s="2"/>
      <c r="H329" s="10"/>
    </row>
    <row r="330" spans="1:8" s="145" customFormat="1" hidden="1" x14ac:dyDescent="0.25">
      <c r="A330" s="131"/>
      <c r="B330" s="136" t="s">
        <v>218</v>
      </c>
      <c r="C330" s="22" t="s">
        <v>112</v>
      </c>
      <c r="D330" s="13"/>
      <c r="E330" s="146">
        <f>E329+E328*2.6+E327</f>
        <v>111860</v>
      </c>
      <c r="F330" s="2"/>
      <c r="G330" s="2"/>
      <c r="H330" s="10"/>
    </row>
    <row r="331" spans="1:8" s="145" customFormat="1" hidden="1" x14ac:dyDescent="0.25">
      <c r="A331" s="131">
        <v>1</v>
      </c>
      <c r="B331" s="136" t="s">
        <v>218</v>
      </c>
      <c r="C331" s="30" t="s">
        <v>7</v>
      </c>
      <c r="D331" s="139"/>
      <c r="E331" s="130"/>
      <c r="F331" s="2"/>
      <c r="G331" s="2"/>
      <c r="H331" s="10"/>
    </row>
    <row r="332" spans="1:8" s="145" customFormat="1" ht="15.75" hidden="1" x14ac:dyDescent="0.25">
      <c r="A332" s="131">
        <v>1</v>
      </c>
      <c r="B332" s="136" t="s">
        <v>218</v>
      </c>
      <c r="C332" s="149" t="s">
        <v>93</v>
      </c>
      <c r="D332" s="139"/>
      <c r="E332" s="130"/>
      <c r="F332" s="2"/>
      <c r="G332" s="2"/>
      <c r="H332" s="10"/>
    </row>
    <row r="333" spans="1:8" s="145" customFormat="1" hidden="1" x14ac:dyDescent="0.25">
      <c r="A333" s="131">
        <v>1</v>
      </c>
      <c r="B333" s="136" t="s">
        <v>218</v>
      </c>
      <c r="C333" s="1" t="s">
        <v>79</v>
      </c>
      <c r="D333" s="139">
        <v>300</v>
      </c>
      <c r="E333" s="10">
        <v>230</v>
      </c>
      <c r="F333" s="140">
        <v>14</v>
      </c>
      <c r="G333" s="2">
        <f>ROUND(H333/D333,0)</f>
        <v>11</v>
      </c>
      <c r="H333" s="10">
        <f>ROUND(E333*F333,0)</f>
        <v>3220</v>
      </c>
    </row>
    <row r="334" spans="1:8" s="145" customFormat="1" hidden="1" x14ac:dyDescent="0.25">
      <c r="A334" s="131">
        <v>1</v>
      </c>
      <c r="B334" s="136" t="s">
        <v>218</v>
      </c>
      <c r="C334" s="1" t="s">
        <v>113</v>
      </c>
      <c r="D334" s="139">
        <v>300</v>
      </c>
      <c r="E334" s="10">
        <v>573</v>
      </c>
      <c r="F334" s="140">
        <v>5.8</v>
      </c>
      <c r="G334" s="2">
        <f>ROUND(H334/D334,0)</f>
        <v>11</v>
      </c>
      <c r="H334" s="10">
        <f>ROUND(E334*F334,0)</f>
        <v>3323</v>
      </c>
    </row>
    <row r="335" spans="1:8" s="145" customFormat="1" hidden="1" x14ac:dyDescent="0.25">
      <c r="A335" s="131">
        <v>1</v>
      </c>
      <c r="B335" s="136" t="s">
        <v>218</v>
      </c>
      <c r="C335" s="1" t="s">
        <v>56</v>
      </c>
      <c r="D335" s="139">
        <v>300</v>
      </c>
      <c r="E335" s="10">
        <v>204</v>
      </c>
      <c r="F335" s="177">
        <v>10</v>
      </c>
      <c r="G335" s="2">
        <f>ROUND(H335/D335,0)</f>
        <v>7</v>
      </c>
      <c r="H335" s="10">
        <f>ROUND(E335*F335,0)</f>
        <v>2040</v>
      </c>
    </row>
    <row r="336" spans="1:8" s="145" customFormat="1" ht="15.75" hidden="1" x14ac:dyDescent="0.25">
      <c r="A336" s="131">
        <v>1</v>
      </c>
      <c r="B336" s="136" t="s">
        <v>218</v>
      </c>
      <c r="C336" s="154" t="s">
        <v>9</v>
      </c>
      <c r="D336" s="139"/>
      <c r="E336" s="155">
        <f>SUM(E333:E335)</f>
        <v>1007</v>
      </c>
      <c r="F336" s="151">
        <f>H336/E336</f>
        <v>8.5233366434955311</v>
      </c>
      <c r="G336" s="156">
        <f>SUM(G333:G335)</f>
        <v>29</v>
      </c>
      <c r="H336" s="156">
        <f t="shared" ref="H336" si="12">SUM(H333:H335)</f>
        <v>8583</v>
      </c>
    </row>
    <row r="337" spans="1:8" s="145" customFormat="1" ht="15.75" hidden="1" x14ac:dyDescent="0.25">
      <c r="A337" s="131">
        <v>1</v>
      </c>
      <c r="B337" s="136" t="s">
        <v>218</v>
      </c>
      <c r="C337" s="149" t="s">
        <v>71</v>
      </c>
      <c r="D337" s="24"/>
      <c r="E337" s="155"/>
      <c r="F337" s="36"/>
      <c r="G337" s="156"/>
      <c r="H337" s="156"/>
    </row>
    <row r="338" spans="1:8" s="145" customFormat="1" ht="16.5" hidden="1" customHeight="1" x14ac:dyDescent="0.25">
      <c r="A338" s="131">
        <v>1</v>
      </c>
      <c r="B338" s="136" t="s">
        <v>218</v>
      </c>
      <c r="C338" s="25" t="s">
        <v>43</v>
      </c>
      <c r="D338" s="24">
        <v>240</v>
      </c>
      <c r="E338" s="10">
        <v>410</v>
      </c>
      <c r="F338" s="213">
        <v>8</v>
      </c>
      <c r="G338" s="2">
        <f>ROUND(H338/D338,0)</f>
        <v>14</v>
      </c>
      <c r="H338" s="10">
        <f>ROUND(E338*F338,0)</f>
        <v>3280</v>
      </c>
    </row>
    <row r="339" spans="1:8" s="145" customFormat="1" ht="17.25" hidden="1" customHeight="1" x14ac:dyDescent="0.25">
      <c r="A339" s="131">
        <v>1</v>
      </c>
      <c r="B339" s="136" t="s">
        <v>218</v>
      </c>
      <c r="C339" s="25" t="s">
        <v>10</v>
      </c>
      <c r="D339" s="24">
        <v>240</v>
      </c>
      <c r="E339" s="10">
        <v>180</v>
      </c>
      <c r="F339" s="214">
        <v>3</v>
      </c>
      <c r="G339" s="2">
        <f t="shared" ref="G339:G340" si="13">ROUND(H339/D339,0)</f>
        <v>2</v>
      </c>
      <c r="H339" s="10">
        <f>ROUND(E339*F339,0)</f>
        <v>540</v>
      </c>
    </row>
    <row r="340" spans="1:8" s="145" customFormat="1" ht="17.25" hidden="1" customHeight="1" x14ac:dyDescent="0.25">
      <c r="A340" s="131"/>
      <c r="B340" s="136"/>
      <c r="C340" s="25" t="s">
        <v>300</v>
      </c>
      <c r="D340" s="153">
        <v>240</v>
      </c>
      <c r="E340" s="10">
        <v>110</v>
      </c>
      <c r="F340" s="214">
        <v>10</v>
      </c>
      <c r="G340" s="2">
        <f t="shared" si="13"/>
        <v>5</v>
      </c>
      <c r="H340" s="10">
        <f>ROUND(E340*F340,0)</f>
        <v>1100</v>
      </c>
    </row>
    <row r="341" spans="1:8" s="145" customFormat="1" ht="15.75" hidden="1" customHeight="1" x14ac:dyDescent="0.25">
      <c r="A341" s="131">
        <v>1</v>
      </c>
      <c r="B341" s="136" t="s">
        <v>218</v>
      </c>
      <c r="C341" s="154" t="s">
        <v>94</v>
      </c>
      <c r="D341" s="153"/>
      <c r="E341" s="155">
        <f>SUM(E338:E340)</f>
        <v>700</v>
      </c>
      <c r="F341" s="36">
        <f>H341/E341</f>
        <v>7.0285714285714285</v>
      </c>
      <c r="G341" s="156">
        <f>SUM(G338:G340)</f>
        <v>21</v>
      </c>
      <c r="H341" s="156">
        <f>SUM(H338:H340)</f>
        <v>4920</v>
      </c>
    </row>
    <row r="342" spans="1:8" s="145" customFormat="1" ht="18.75" hidden="1" customHeight="1" x14ac:dyDescent="0.25">
      <c r="A342" s="131">
        <v>1</v>
      </c>
      <c r="B342" s="136" t="s">
        <v>218</v>
      </c>
      <c r="C342" s="26" t="s">
        <v>88</v>
      </c>
      <c r="D342" s="139"/>
      <c r="E342" s="146">
        <f>E336+E341</f>
        <v>1707</v>
      </c>
      <c r="F342" s="151">
        <f>H342/E342</f>
        <v>7.9103690685413008</v>
      </c>
      <c r="G342" s="11">
        <f>G336+G341</f>
        <v>50</v>
      </c>
      <c r="H342" s="11">
        <f>H336+H341</f>
        <v>13503</v>
      </c>
    </row>
    <row r="343" spans="1:8" s="145" customFormat="1" ht="30" hidden="1" customHeight="1" x14ac:dyDescent="0.25">
      <c r="A343" s="131"/>
      <c r="B343" s="136" t="s">
        <v>218</v>
      </c>
      <c r="C343" s="215" t="s">
        <v>276</v>
      </c>
      <c r="D343" s="139"/>
      <c r="E343" s="216"/>
      <c r="F343" s="217"/>
      <c r="G343" s="28"/>
      <c r="H343" s="167"/>
    </row>
    <row r="344" spans="1:8" s="145" customFormat="1" ht="30" hidden="1" customHeight="1" x14ac:dyDescent="0.25">
      <c r="A344" s="131"/>
      <c r="B344" s="136"/>
      <c r="C344" s="215" t="s">
        <v>277</v>
      </c>
      <c r="D344" s="139"/>
      <c r="E344" s="216"/>
      <c r="F344" s="217"/>
      <c r="G344" s="28"/>
      <c r="H344" s="28"/>
    </row>
    <row r="345" spans="1:8" s="145" customFormat="1" ht="30" hidden="1" customHeight="1" x14ac:dyDescent="0.25">
      <c r="A345" s="131"/>
      <c r="B345" s="136"/>
      <c r="C345" s="215" t="s">
        <v>278</v>
      </c>
      <c r="D345" s="139"/>
      <c r="E345" s="216"/>
      <c r="F345" s="217"/>
      <c r="G345" s="28"/>
      <c r="H345" s="167"/>
    </row>
    <row r="346" spans="1:8" s="145" customFormat="1" ht="30" hidden="1" customHeight="1" x14ac:dyDescent="0.25">
      <c r="A346" s="131"/>
      <c r="B346" s="136"/>
      <c r="C346" s="218" t="s">
        <v>279</v>
      </c>
      <c r="D346" s="139"/>
      <c r="E346" s="216"/>
      <c r="F346" s="217"/>
      <c r="G346" s="28"/>
      <c r="H346" s="28"/>
    </row>
    <row r="347" spans="1:8" s="145" customFormat="1" ht="81" hidden="1" customHeight="1" x14ac:dyDescent="0.25">
      <c r="A347" s="131"/>
      <c r="B347" s="136"/>
      <c r="C347" s="219" t="s">
        <v>280</v>
      </c>
      <c r="D347" s="139"/>
      <c r="E347" s="216"/>
      <c r="F347" s="217"/>
      <c r="G347" s="28"/>
      <c r="H347" s="167"/>
    </row>
    <row r="348" spans="1:8" s="145" customFormat="1" ht="30" hidden="1" customHeight="1" x14ac:dyDescent="0.25">
      <c r="A348" s="131"/>
      <c r="B348" s="136"/>
      <c r="C348" s="218" t="s">
        <v>281</v>
      </c>
      <c r="D348" s="139"/>
      <c r="E348" s="216"/>
      <c r="F348" s="217"/>
      <c r="G348" s="28"/>
      <c r="H348" s="37"/>
    </row>
    <row r="349" spans="1:8" s="145" customFormat="1" ht="75" hidden="1" x14ac:dyDescent="0.25">
      <c r="A349" s="131"/>
      <c r="B349" s="136"/>
      <c r="C349" s="218" t="s">
        <v>273</v>
      </c>
      <c r="D349" s="139"/>
      <c r="E349" s="216"/>
      <c r="F349" s="217"/>
      <c r="G349" s="28"/>
      <c r="H349" s="28"/>
    </row>
    <row r="350" spans="1:8" s="145" customFormat="1" ht="29.25" hidden="1" x14ac:dyDescent="0.25">
      <c r="A350" s="131"/>
      <c r="B350" s="136" t="s">
        <v>218</v>
      </c>
      <c r="C350" s="220" t="s">
        <v>266</v>
      </c>
      <c r="D350" s="139"/>
      <c r="E350" s="216">
        <f>SUM(E343:E349)</f>
        <v>0</v>
      </c>
      <c r="F350" s="202"/>
      <c r="G350" s="156"/>
      <c r="H350" s="156"/>
    </row>
    <row r="351" spans="1:8" s="145" customFormat="1" ht="34.5" hidden="1" customHeight="1" x14ac:dyDescent="0.25">
      <c r="A351" s="131"/>
      <c r="B351" s="136"/>
      <c r="C351" s="27" t="s">
        <v>187</v>
      </c>
      <c r="D351" s="139"/>
      <c r="E351" s="193">
        <v>10</v>
      </c>
      <c r="F351" s="217"/>
      <c r="G351" s="28"/>
      <c r="H351" s="28"/>
    </row>
    <row r="352" spans="1:8" s="145" customFormat="1" ht="15.75" hidden="1" x14ac:dyDescent="0.25">
      <c r="A352" s="131"/>
      <c r="B352" s="136"/>
      <c r="C352" s="27" t="s">
        <v>301</v>
      </c>
      <c r="D352" s="139"/>
      <c r="E352" s="193">
        <v>11</v>
      </c>
      <c r="F352" s="217"/>
      <c r="G352" s="28"/>
      <c r="H352" s="167"/>
    </row>
    <row r="353" spans="1:8" s="145" customFormat="1" ht="16.5" hidden="1" thickBot="1" x14ac:dyDescent="0.3">
      <c r="A353" s="131"/>
      <c r="B353" s="136"/>
      <c r="C353" s="162" t="s">
        <v>166</v>
      </c>
      <c r="D353" s="139"/>
      <c r="E353" s="216">
        <f>SUM(E351:E352)</f>
        <v>21</v>
      </c>
      <c r="F353" s="217"/>
      <c r="G353" s="28"/>
      <c r="H353" s="37"/>
    </row>
    <row r="354" spans="1:8" s="173" customFormat="1" ht="15.75" hidden="1" customHeight="1" thickBot="1" x14ac:dyDescent="0.3">
      <c r="A354" s="131">
        <v>1</v>
      </c>
      <c r="B354" s="136" t="s">
        <v>218</v>
      </c>
      <c r="C354" s="168" t="s">
        <v>213</v>
      </c>
      <c r="D354" s="169"/>
      <c r="E354" s="170"/>
      <c r="F354" s="171"/>
      <c r="G354" s="172"/>
      <c r="H354" s="171"/>
    </row>
    <row r="355" spans="1:8" s="173" customFormat="1" ht="15" hidden="1" customHeight="1" thickBot="1" x14ac:dyDescent="0.3">
      <c r="A355" s="131">
        <v>1</v>
      </c>
      <c r="B355" s="131"/>
      <c r="C355" s="221"/>
      <c r="D355" s="192"/>
      <c r="E355" s="130"/>
      <c r="F355" s="10"/>
      <c r="G355" s="10"/>
      <c r="H355" s="10"/>
    </row>
    <row r="356" spans="1:8" ht="29.25" x14ac:dyDescent="0.25">
      <c r="A356" s="131">
        <v>1</v>
      </c>
      <c r="B356" s="136" t="s">
        <v>219</v>
      </c>
      <c r="C356" s="447" t="s">
        <v>308</v>
      </c>
      <c r="D356" s="139"/>
      <c r="E356" s="130"/>
      <c r="F356" s="10"/>
      <c r="G356" s="10"/>
      <c r="H356" s="10"/>
    </row>
    <row r="357" spans="1:8" x14ac:dyDescent="0.25">
      <c r="A357" s="131">
        <v>1</v>
      </c>
      <c r="B357" s="136" t="s">
        <v>219</v>
      </c>
      <c r="C357" s="137" t="s">
        <v>4</v>
      </c>
      <c r="D357" s="139"/>
      <c r="E357" s="130"/>
      <c r="F357" s="10"/>
      <c r="G357" s="10"/>
      <c r="H357" s="10"/>
    </row>
    <row r="358" spans="1:8" x14ac:dyDescent="0.25">
      <c r="A358" s="131">
        <v>1</v>
      </c>
      <c r="B358" s="136" t="s">
        <v>219</v>
      </c>
      <c r="C358" s="32" t="s">
        <v>83</v>
      </c>
      <c r="D358" s="139">
        <v>340</v>
      </c>
      <c r="E358" s="10">
        <v>977</v>
      </c>
      <c r="F358" s="222">
        <v>8.9</v>
      </c>
      <c r="G358" s="2">
        <f>ROUND(H358/D358,0)</f>
        <v>26</v>
      </c>
      <c r="H358" s="10">
        <f>ROUND(E358*F358,0)</f>
        <v>8695</v>
      </c>
    </row>
    <row r="359" spans="1:8" x14ac:dyDescent="0.25">
      <c r="A359" s="131">
        <v>1</v>
      </c>
      <c r="B359" s="136" t="s">
        <v>219</v>
      </c>
      <c r="C359" s="32" t="s">
        <v>86</v>
      </c>
      <c r="D359" s="139">
        <v>340</v>
      </c>
      <c r="E359" s="10">
        <v>3880</v>
      </c>
      <c r="F359" s="222">
        <v>4.4000000000000004</v>
      </c>
      <c r="G359" s="2">
        <f t="shared" ref="G359:G363" si="14">ROUND(H359/D359,0)</f>
        <v>50</v>
      </c>
      <c r="H359" s="10">
        <f t="shared" ref="H359:H363" si="15">ROUND(E359*F359,0)</f>
        <v>17072</v>
      </c>
    </row>
    <row r="360" spans="1:8" x14ac:dyDescent="0.25">
      <c r="A360" s="131">
        <v>1</v>
      </c>
      <c r="B360" s="136" t="s">
        <v>219</v>
      </c>
      <c r="C360" s="32" t="s">
        <v>78</v>
      </c>
      <c r="D360" s="139">
        <v>340</v>
      </c>
      <c r="E360" s="10">
        <v>1177</v>
      </c>
      <c r="F360" s="222">
        <v>16.7</v>
      </c>
      <c r="G360" s="2">
        <f t="shared" si="14"/>
        <v>58</v>
      </c>
      <c r="H360" s="10">
        <f t="shared" si="15"/>
        <v>19656</v>
      </c>
    </row>
    <row r="361" spans="1:8" x14ac:dyDescent="0.25">
      <c r="A361" s="131">
        <v>1</v>
      </c>
      <c r="B361" s="136" t="s">
        <v>219</v>
      </c>
      <c r="C361" s="32" t="s">
        <v>85</v>
      </c>
      <c r="D361" s="139">
        <v>340</v>
      </c>
      <c r="E361" s="10">
        <v>996</v>
      </c>
      <c r="F361" s="222">
        <v>9.6</v>
      </c>
      <c r="G361" s="2">
        <f t="shared" si="14"/>
        <v>28</v>
      </c>
      <c r="H361" s="10">
        <f t="shared" si="15"/>
        <v>9562</v>
      </c>
    </row>
    <row r="362" spans="1:8" x14ac:dyDescent="0.25">
      <c r="A362" s="131">
        <v>1</v>
      </c>
      <c r="B362" s="136" t="s">
        <v>219</v>
      </c>
      <c r="C362" s="32" t="s">
        <v>84</v>
      </c>
      <c r="D362" s="139">
        <v>340</v>
      </c>
      <c r="E362" s="10">
        <v>565</v>
      </c>
      <c r="F362" s="222">
        <v>15.6</v>
      </c>
      <c r="G362" s="2">
        <f t="shared" si="14"/>
        <v>26</v>
      </c>
      <c r="H362" s="10">
        <f t="shared" si="15"/>
        <v>8814</v>
      </c>
    </row>
    <row r="363" spans="1:8" x14ac:dyDescent="0.25">
      <c r="A363" s="131">
        <v>1</v>
      </c>
      <c r="B363" s="136" t="s">
        <v>219</v>
      </c>
      <c r="C363" s="32" t="s">
        <v>68</v>
      </c>
      <c r="D363" s="139">
        <v>340</v>
      </c>
      <c r="E363" s="10">
        <v>525</v>
      </c>
      <c r="F363" s="222">
        <v>31</v>
      </c>
      <c r="G363" s="2">
        <f t="shared" si="14"/>
        <v>48</v>
      </c>
      <c r="H363" s="10">
        <f t="shared" si="15"/>
        <v>16275</v>
      </c>
    </row>
    <row r="364" spans="1:8" s="145" customFormat="1" x14ac:dyDescent="0.25">
      <c r="A364" s="131">
        <v>1</v>
      </c>
      <c r="B364" s="136" t="s">
        <v>219</v>
      </c>
      <c r="C364" s="143" t="s">
        <v>5</v>
      </c>
      <c r="D364" s="144"/>
      <c r="E364" s="11">
        <f>SUM(E358:E363)</f>
        <v>8120</v>
      </c>
      <c r="F364" s="190">
        <f>H364/E364</f>
        <v>9.8613300492610829</v>
      </c>
      <c r="G364" s="223">
        <f>SUM(G358:G363)</f>
        <v>236</v>
      </c>
      <c r="H364" s="38">
        <f>SUM(H358:H363)</f>
        <v>80074</v>
      </c>
    </row>
    <row r="365" spans="1:8" s="145" customFormat="1" x14ac:dyDescent="0.25">
      <c r="A365" s="131"/>
      <c r="B365" s="136" t="s">
        <v>219</v>
      </c>
      <c r="C365" s="143" t="s">
        <v>207</v>
      </c>
      <c r="D365" s="144"/>
      <c r="E365" s="11">
        <v>235</v>
      </c>
      <c r="F365" s="190"/>
      <c r="G365" s="223"/>
      <c r="H365" s="38"/>
    </row>
    <row r="366" spans="1:8" s="145" customFormat="1" ht="17.25" customHeight="1" x14ac:dyDescent="0.25">
      <c r="A366" s="131">
        <v>1</v>
      </c>
      <c r="B366" s="136" t="s">
        <v>219</v>
      </c>
      <c r="C366" s="12" t="s">
        <v>6</v>
      </c>
      <c r="D366" s="13"/>
      <c r="E366" s="130"/>
      <c r="F366" s="138"/>
      <c r="G366" s="138"/>
      <c r="H366" s="39"/>
    </row>
    <row r="367" spans="1:8" s="145" customFormat="1" ht="17.25" customHeight="1" x14ac:dyDescent="0.25">
      <c r="A367" s="131"/>
      <c r="B367" s="136" t="s">
        <v>219</v>
      </c>
      <c r="C367" s="12" t="s">
        <v>98</v>
      </c>
      <c r="D367" s="13"/>
      <c r="E367" s="130"/>
      <c r="F367" s="138"/>
      <c r="G367" s="138"/>
      <c r="H367" s="39"/>
    </row>
    <row r="368" spans="1:8" s="145" customFormat="1" ht="17.25" customHeight="1" x14ac:dyDescent="0.25">
      <c r="A368" s="131"/>
      <c r="B368" s="136" t="s">
        <v>219</v>
      </c>
      <c r="C368" s="14" t="s">
        <v>251</v>
      </c>
      <c r="D368" s="13"/>
      <c r="E368" s="146">
        <f>E370+E374+E369</f>
        <v>47200</v>
      </c>
      <c r="F368" s="138"/>
      <c r="G368" s="138"/>
      <c r="H368" s="39"/>
    </row>
    <row r="369" spans="1:8" s="145" customFormat="1" ht="17.25" customHeight="1" x14ac:dyDescent="0.25">
      <c r="A369" s="131"/>
      <c r="B369" s="136" t="s">
        <v>219</v>
      </c>
      <c r="C369" s="15" t="s">
        <v>252</v>
      </c>
      <c r="D369" s="13"/>
      <c r="E369" s="130"/>
      <c r="F369" s="138"/>
      <c r="G369" s="138"/>
      <c r="H369" s="39"/>
    </row>
    <row r="370" spans="1:8" s="145" customFormat="1" ht="30" x14ac:dyDescent="0.25">
      <c r="A370" s="131"/>
      <c r="B370" s="136" t="s">
        <v>219</v>
      </c>
      <c r="C370" s="16" t="s">
        <v>388</v>
      </c>
      <c r="D370" s="13"/>
      <c r="E370" s="130">
        <f>E371+E372</f>
        <v>47092</v>
      </c>
      <c r="F370" s="138"/>
      <c r="G370" s="138"/>
      <c r="H370" s="39"/>
    </row>
    <row r="371" spans="1:8" s="145" customFormat="1" x14ac:dyDescent="0.25">
      <c r="A371" s="131"/>
      <c r="B371" s="136" t="s">
        <v>219</v>
      </c>
      <c r="C371" s="15" t="s">
        <v>389</v>
      </c>
      <c r="D371" s="13"/>
      <c r="E371" s="130">
        <v>47092</v>
      </c>
      <c r="F371" s="10"/>
      <c r="G371" s="10"/>
      <c r="H371" s="10"/>
    </row>
    <row r="372" spans="1:8" s="145" customFormat="1" ht="49.5" customHeight="1" x14ac:dyDescent="0.25">
      <c r="A372" s="131"/>
      <c r="B372" s="136" t="s">
        <v>219</v>
      </c>
      <c r="C372" s="15" t="s">
        <v>391</v>
      </c>
      <c r="D372" s="13"/>
      <c r="E372" s="130"/>
      <c r="F372" s="138"/>
      <c r="G372" s="138"/>
      <c r="H372" s="39"/>
    </row>
    <row r="373" spans="1:8" s="145" customFormat="1" ht="44.25" customHeight="1" x14ac:dyDescent="0.25">
      <c r="A373" s="131"/>
      <c r="B373" s="136" t="s">
        <v>219</v>
      </c>
      <c r="C373" s="15" t="s">
        <v>392</v>
      </c>
      <c r="D373" s="13"/>
      <c r="E373" s="130"/>
      <c r="F373" s="138"/>
      <c r="G373" s="138"/>
      <c r="H373" s="39"/>
    </row>
    <row r="374" spans="1:8" s="145" customFormat="1" ht="33" customHeight="1" x14ac:dyDescent="0.25">
      <c r="A374" s="131"/>
      <c r="B374" s="136" t="s">
        <v>219</v>
      </c>
      <c r="C374" s="18" t="s">
        <v>393</v>
      </c>
      <c r="D374" s="13"/>
      <c r="E374" s="130">
        <v>108</v>
      </c>
      <c r="F374" s="138"/>
      <c r="G374" s="138"/>
      <c r="H374" s="39"/>
    </row>
    <row r="375" spans="1:8" s="145" customFormat="1" ht="17.25" customHeight="1" x14ac:dyDescent="0.25">
      <c r="A375" s="131"/>
      <c r="B375" s="136" t="s">
        <v>219</v>
      </c>
      <c r="C375" s="14" t="s">
        <v>253</v>
      </c>
      <c r="D375" s="13"/>
      <c r="E375" s="130">
        <f>E376</f>
        <v>100</v>
      </c>
      <c r="F375" s="138"/>
      <c r="G375" s="138"/>
      <c r="H375" s="39"/>
    </row>
    <row r="376" spans="1:8" s="145" customFormat="1" ht="17.25" customHeight="1" x14ac:dyDescent="0.25">
      <c r="A376" s="131"/>
      <c r="B376" s="136"/>
      <c r="C376" s="14" t="s">
        <v>254</v>
      </c>
      <c r="D376" s="13"/>
      <c r="E376" s="130">
        <v>100</v>
      </c>
      <c r="F376" s="138"/>
      <c r="G376" s="138"/>
      <c r="H376" s="39"/>
    </row>
    <row r="377" spans="1:8" s="145" customFormat="1" ht="32.25" customHeight="1" x14ac:dyDescent="0.25">
      <c r="A377" s="131">
        <v>1</v>
      </c>
      <c r="B377" s="136" t="s">
        <v>219</v>
      </c>
      <c r="C377" s="14" t="s">
        <v>256</v>
      </c>
      <c r="D377" s="13"/>
      <c r="E377" s="130">
        <f>E378</f>
        <v>0</v>
      </c>
      <c r="F377" s="138"/>
      <c r="G377" s="138"/>
      <c r="H377" s="39"/>
    </row>
    <row r="378" spans="1:8" s="145" customFormat="1" ht="30" x14ac:dyDescent="0.25">
      <c r="A378" s="131">
        <v>1</v>
      </c>
      <c r="B378" s="136" t="s">
        <v>219</v>
      </c>
      <c r="C378" s="19" t="s">
        <v>117</v>
      </c>
      <c r="D378" s="13"/>
      <c r="E378" s="130"/>
      <c r="F378" s="138"/>
      <c r="G378" s="138"/>
      <c r="H378" s="39"/>
    </row>
    <row r="379" spans="1:8" s="145" customFormat="1" ht="57.75" x14ac:dyDescent="0.25">
      <c r="A379" s="131">
        <v>1</v>
      </c>
      <c r="B379" s="136" t="s">
        <v>219</v>
      </c>
      <c r="C379" s="14" t="s">
        <v>257</v>
      </c>
      <c r="D379" s="24"/>
      <c r="E379" s="130"/>
      <c r="F379" s="138"/>
      <c r="G379" s="138"/>
      <c r="H379" s="39"/>
    </row>
    <row r="380" spans="1:8" s="145" customFormat="1" ht="15.75" x14ac:dyDescent="0.25">
      <c r="A380" s="131">
        <v>1</v>
      </c>
      <c r="B380" s="136" t="s">
        <v>219</v>
      </c>
      <c r="C380" s="208" t="s">
        <v>165</v>
      </c>
      <c r="D380" s="24"/>
      <c r="E380" s="146">
        <f>SUM(E381:E418)</f>
        <v>52126</v>
      </c>
      <c r="F380" s="138"/>
      <c r="G380" s="138"/>
      <c r="H380" s="39"/>
    </row>
    <row r="381" spans="1:8" s="145" customFormat="1" ht="30" x14ac:dyDescent="0.25">
      <c r="A381" s="131">
        <v>1</v>
      </c>
      <c r="B381" s="136" t="s">
        <v>219</v>
      </c>
      <c r="C381" s="32" t="s">
        <v>130</v>
      </c>
      <c r="D381" s="24"/>
      <c r="E381" s="130">
        <v>1900</v>
      </c>
      <c r="F381" s="138"/>
      <c r="G381" s="138"/>
      <c r="H381" s="39"/>
    </row>
    <row r="382" spans="1:8" s="145" customFormat="1" ht="47.25" customHeight="1" x14ac:dyDescent="0.25">
      <c r="A382" s="131">
        <v>1</v>
      </c>
      <c r="B382" s="136" t="s">
        <v>219</v>
      </c>
      <c r="C382" s="32" t="s">
        <v>269</v>
      </c>
      <c r="D382" s="24"/>
      <c r="E382" s="130">
        <v>440</v>
      </c>
      <c r="F382" s="138"/>
      <c r="G382" s="138"/>
      <c r="H382" s="39"/>
    </row>
    <row r="383" spans="1:8" s="145" customFormat="1" ht="31.9" customHeight="1" x14ac:dyDescent="0.25">
      <c r="A383" s="131"/>
      <c r="B383" s="136"/>
      <c r="C383" s="224" t="s">
        <v>270</v>
      </c>
      <c r="D383" s="24"/>
      <c r="E383" s="130">
        <v>136</v>
      </c>
      <c r="F383" s="138"/>
      <c r="G383" s="138"/>
      <c r="H383" s="39"/>
    </row>
    <row r="384" spans="1:8" s="145" customFormat="1" ht="30" x14ac:dyDescent="0.25">
      <c r="A384" s="131"/>
      <c r="B384" s="136"/>
      <c r="C384" s="32" t="s">
        <v>271</v>
      </c>
      <c r="D384" s="24"/>
      <c r="E384" s="130">
        <v>10</v>
      </c>
      <c r="F384" s="138"/>
      <c r="G384" s="138"/>
      <c r="H384" s="39"/>
    </row>
    <row r="385" spans="1:8" s="145" customFormat="1" x14ac:dyDescent="0.25">
      <c r="A385" s="131"/>
      <c r="B385" s="136"/>
      <c r="C385" s="32" t="s">
        <v>173</v>
      </c>
      <c r="D385" s="24"/>
      <c r="E385" s="130">
        <v>600</v>
      </c>
      <c r="F385" s="138"/>
      <c r="G385" s="138"/>
      <c r="H385" s="39"/>
    </row>
    <row r="386" spans="1:8" s="145" customFormat="1" x14ac:dyDescent="0.25">
      <c r="A386" s="131"/>
      <c r="B386" s="136"/>
      <c r="C386" s="32" t="s">
        <v>407</v>
      </c>
      <c r="D386" s="24"/>
      <c r="E386" s="130">
        <v>750</v>
      </c>
      <c r="F386" s="138"/>
      <c r="G386" s="138"/>
      <c r="H386" s="39"/>
    </row>
    <row r="387" spans="1:8" s="145" customFormat="1" ht="30" x14ac:dyDescent="0.25">
      <c r="A387" s="131"/>
      <c r="B387" s="136"/>
      <c r="C387" s="32" t="s">
        <v>411</v>
      </c>
      <c r="D387" s="24"/>
      <c r="E387" s="130"/>
      <c r="F387" s="138"/>
      <c r="G387" s="138"/>
      <c r="H387" s="39"/>
    </row>
    <row r="388" spans="1:8" s="145" customFormat="1" x14ac:dyDescent="0.25">
      <c r="A388" s="131">
        <v>1</v>
      </c>
      <c r="B388" s="136" t="s">
        <v>219</v>
      </c>
      <c r="C388" s="32" t="s">
        <v>140</v>
      </c>
      <c r="D388" s="24"/>
      <c r="E388" s="130">
        <v>35</v>
      </c>
      <c r="F388" s="138"/>
      <c r="G388" s="138"/>
      <c r="H388" s="39"/>
    </row>
    <row r="389" spans="1:8" s="145" customFormat="1" x14ac:dyDescent="0.25">
      <c r="A389" s="131"/>
      <c r="B389" s="136"/>
      <c r="C389" s="32" t="s">
        <v>16</v>
      </c>
      <c r="D389" s="24"/>
      <c r="E389" s="130">
        <v>1200</v>
      </c>
      <c r="F389" s="138"/>
      <c r="G389" s="138"/>
      <c r="H389" s="39"/>
    </row>
    <row r="390" spans="1:8" s="145" customFormat="1" ht="15.75" customHeight="1" x14ac:dyDescent="0.25">
      <c r="A390" s="131">
        <v>1</v>
      </c>
      <c r="B390" s="136" t="s">
        <v>219</v>
      </c>
      <c r="C390" s="32" t="s">
        <v>17</v>
      </c>
      <c r="D390" s="24"/>
      <c r="E390" s="130">
        <v>5200</v>
      </c>
      <c r="F390" s="138"/>
      <c r="G390" s="138"/>
      <c r="H390" s="39"/>
    </row>
    <row r="391" spans="1:8" s="145" customFormat="1" ht="31.15" customHeight="1" x14ac:dyDescent="0.25">
      <c r="A391" s="131"/>
      <c r="B391" s="136" t="s">
        <v>219</v>
      </c>
      <c r="C391" s="147" t="s">
        <v>139</v>
      </c>
      <c r="D391" s="24"/>
      <c r="E391" s="130">
        <v>15050</v>
      </c>
      <c r="F391" s="138"/>
      <c r="G391" s="138"/>
      <c r="H391" s="39"/>
    </row>
    <row r="392" spans="1:8" s="145" customFormat="1" ht="31.15" customHeight="1" x14ac:dyDescent="0.25">
      <c r="A392" s="131"/>
      <c r="B392" s="136"/>
      <c r="C392" s="147" t="s">
        <v>127</v>
      </c>
      <c r="D392" s="24"/>
      <c r="E392" s="130">
        <v>10</v>
      </c>
      <c r="F392" s="138"/>
      <c r="G392" s="138"/>
      <c r="H392" s="39"/>
    </row>
    <row r="393" spans="1:8" s="145" customFormat="1" ht="30" x14ac:dyDescent="0.25">
      <c r="A393" s="131">
        <v>1</v>
      </c>
      <c r="B393" s="136" t="s">
        <v>219</v>
      </c>
      <c r="C393" s="32" t="s">
        <v>244</v>
      </c>
      <c r="D393" s="24"/>
      <c r="E393" s="130">
        <v>150</v>
      </c>
      <c r="F393" s="138"/>
      <c r="G393" s="138"/>
      <c r="H393" s="39"/>
    </row>
    <row r="394" spans="1:8" s="145" customFormat="1" ht="51" customHeight="1" x14ac:dyDescent="0.25">
      <c r="A394" s="131"/>
      <c r="B394" s="136" t="s">
        <v>219</v>
      </c>
      <c r="C394" s="32" t="s">
        <v>243</v>
      </c>
      <c r="D394" s="24"/>
      <c r="E394" s="130">
        <v>200</v>
      </c>
      <c r="F394" s="138"/>
      <c r="G394" s="138"/>
      <c r="H394" s="39"/>
    </row>
    <row r="395" spans="1:8" s="145" customFormat="1" ht="44.25" customHeight="1" x14ac:dyDescent="0.25">
      <c r="A395" s="131">
        <v>1</v>
      </c>
      <c r="B395" s="136" t="s">
        <v>219</v>
      </c>
      <c r="C395" s="32" t="s">
        <v>208</v>
      </c>
      <c r="D395" s="24"/>
      <c r="E395" s="130">
        <v>125</v>
      </c>
      <c r="F395" s="138"/>
      <c r="G395" s="138"/>
      <c r="H395" s="39"/>
    </row>
    <row r="396" spans="1:8" s="145" customFormat="1" ht="45" x14ac:dyDescent="0.25">
      <c r="A396" s="131">
        <v>1</v>
      </c>
      <c r="B396" s="136" t="s">
        <v>219</v>
      </c>
      <c r="C396" s="224" t="s">
        <v>245</v>
      </c>
      <c r="D396" s="24"/>
      <c r="E396" s="130">
        <v>100</v>
      </c>
      <c r="F396" s="138"/>
      <c r="G396" s="138"/>
      <c r="H396" s="39"/>
    </row>
    <row r="397" spans="1:8" s="145" customFormat="1" ht="45" x14ac:dyDescent="0.25">
      <c r="A397" s="131"/>
      <c r="B397" s="136"/>
      <c r="C397" s="224" t="s">
        <v>286</v>
      </c>
      <c r="D397" s="24"/>
      <c r="E397" s="130">
        <v>100</v>
      </c>
      <c r="F397" s="138"/>
      <c r="G397" s="138"/>
      <c r="H397" s="39"/>
    </row>
    <row r="398" spans="1:8" s="145" customFormat="1" ht="45" x14ac:dyDescent="0.25">
      <c r="A398" s="131"/>
      <c r="B398" s="136"/>
      <c r="C398" s="224" t="s">
        <v>426</v>
      </c>
      <c r="D398" s="24"/>
      <c r="E398" s="130">
        <v>45</v>
      </c>
      <c r="F398" s="138"/>
      <c r="G398" s="138"/>
      <c r="H398" s="39"/>
    </row>
    <row r="399" spans="1:8" s="145" customFormat="1" ht="60" x14ac:dyDescent="0.25">
      <c r="A399" s="131"/>
      <c r="B399" s="136"/>
      <c r="C399" s="224" t="s">
        <v>427</v>
      </c>
      <c r="D399" s="24"/>
      <c r="E399" s="130">
        <v>45</v>
      </c>
      <c r="F399" s="138"/>
      <c r="G399" s="138"/>
      <c r="H399" s="39"/>
    </row>
    <row r="400" spans="1:8" s="145" customFormat="1" ht="45" x14ac:dyDescent="0.25">
      <c r="A400" s="131"/>
      <c r="B400" s="136"/>
      <c r="C400" s="224" t="s">
        <v>294</v>
      </c>
      <c r="D400" s="24"/>
      <c r="E400" s="130">
        <v>300</v>
      </c>
      <c r="F400" s="138"/>
      <c r="G400" s="138"/>
      <c r="H400" s="39"/>
    </row>
    <row r="401" spans="1:8" s="145" customFormat="1" ht="45" x14ac:dyDescent="0.25">
      <c r="A401" s="131"/>
      <c r="B401" s="136"/>
      <c r="C401" s="224" t="s">
        <v>295</v>
      </c>
      <c r="D401" s="24"/>
      <c r="E401" s="130">
        <v>100</v>
      </c>
      <c r="F401" s="138"/>
      <c r="G401" s="138"/>
      <c r="H401" s="39"/>
    </row>
    <row r="402" spans="1:8" s="145" customFormat="1" ht="14.25" customHeight="1" x14ac:dyDescent="0.25">
      <c r="A402" s="131"/>
      <c r="B402" s="136"/>
      <c r="C402" s="224" t="s">
        <v>202</v>
      </c>
      <c r="D402" s="24"/>
      <c r="E402" s="130">
        <v>1800</v>
      </c>
      <c r="F402" s="138"/>
      <c r="G402" s="138"/>
      <c r="H402" s="39"/>
    </row>
    <row r="403" spans="1:8" s="145" customFormat="1" x14ac:dyDescent="0.25">
      <c r="A403" s="131">
        <v>1</v>
      </c>
      <c r="B403" s="136" t="s">
        <v>219</v>
      </c>
      <c r="C403" s="148" t="s">
        <v>211</v>
      </c>
      <c r="D403" s="24"/>
      <c r="E403" s="130">
        <v>1000</v>
      </c>
      <c r="F403" s="138"/>
      <c r="G403" s="138"/>
      <c r="H403" s="39"/>
    </row>
    <row r="404" spans="1:8" s="145" customFormat="1" x14ac:dyDescent="0.25">
      <c r="A404" s="131">
        <v>1</v>
      </c>
      <c r="B404" s="136" t="s">
        <v>219</v>
      </c>
      <c r="C404" s="148" t="s">
        <v>416</v>
      </c>
      <c r="D404" s="24"/>
      <c r="E404" s="130">
        <v>2160</v>
      </c>
      <c r="F404" s="138"/>
      <c r="G404" s="138"/>
      <c r="H404" s="39"/>
    </row>
    <row r="405" spans="1:8" s="145" customFormat="1" ht="30" x14ac:dyDescent="0.25">
      <c r="A405" s="131"/>
      <c r="B405" s="136"/>
      <c r="C405" s="148" t="s">
        <v>408</v>
      </c>
      <c r="D405" s="24"/>
      <c r="E405" s="130">
        <v>150</v>
      </c>
      <c r="F405" s="138"/>
      <c r="G405" s="138"/>
      <c r="H405" s="39"/>
    </row>
    <row r="406" spans="1:8" s="145" customFormat="1" ht="26.25" customHeight="1" x14ac:dyDescent="0.25">
      <c r="A406" s="131">
        <v>1</v>
      </c>
      <c r="B406" s="136" t="s">
        <v>219</v>
      </c>
      <c r="C406" s="32" t="s">
        <v>72</v>
      </c>
      <c r="D406" s="24"/>
      <c r="E406" s="130">
        <v>4300</v>
      </c>
      <c r="F406" s="138"/>
      <c r="G406" s="138"/>
      <c r="H406" s="39"/>
    </row>
    <row r="407" spans="1:8" s="145" customFormat="1" ht="30" x14ac:dyDescent="0.25">
      <c r="A407" s="131">
        <v>1</v>
      </c>
      <c r="B407" s="136" t="s">
        <v>219</v>
      </c>
      <c r="C407" s="32" t="s">
        <v>129</v>
      </c>
      <c r="D407" s="24"/>
      <c r="E407" s="130">
        <v>1950</v>
      </c>
      <c r="F407" s="138"/>
      <c r="G407" s="138"/>
      <c r="H407" s="39"/>
    </row>
    <row r="408" spans="1:8" s="145" customFormat="1" ht="75" x14ac:dyDescent="0.25">
      <c r="A408" s="131"/>
      <c r="B408" s="136" t="s">
        <v>219</v>
      </c>
      <c r="C408" s="148" t="s">
        <v>267</v>
      </c>
      <c r="D408" s="24"/>
      <c r="E408" s="130">
        <v>4840</v>
      </c>
      <c r="F408" s="138"/>
      <c r="G408" s="138"/>
      <c r="H408" s="39"/>
    </row>
    <row r="409" spans="1:8" s="145" customFormat="1" ht="60" x14ac:dyDescent="0.25">
      <c r="A409" s="131"/>
      <c r="B409" s="136" t="s">
        <v>219</v>
      </c>
      <c r="C409" s="32" t="s">
        <v>413</v>
      </c>
      <c r="D409" s="24"/>
      <c r="E409" s="130">
        <v>870</v>
      </c>
      <c r="F409" s="138"/>
      <c r="G409" s="138"/>
      <c r="H409" s="39"/>
    </row>
    <row r="410" spans="1:8" s="145" customFormat="1" ht="45" x14ac:dyDescent="0.25">
      <c r="A410" s="131"/>
      <c r="B410" s="136" t="s">
        <v>219</v>
      </c>
      <c r="C410" s="32" t="s">
        <v>268</v>
      </c>
      <c r="D410" s="24"/>
      <c r="E410" s="130">
        <v>200</v>
      </c>
      <c r="F410" s="138"/>
      <c r="G410" s="138"/>
      <c r="H410" s="39"/>
    </row>
    <row r="411" spans="1:8" s="145" customFormat="1" x14ac:dyDescent="0.25">
      <c r="A411" s="131"/>
      <c r="B411" s="136" t="s">
        <v>219</v>
      </c>
      <c r="C411" s="32" t="s">
        <v>131</v>
      </c>
      <c r="D411" s="24"/>
      <c r="E411" s="130">
        <v>3000</v>
      </c>
      <c r="F411" s="138"/>
      <c r="G411" s="138"/>
      <c r="H411" s="39"/>
    </row>
    <row r="412" spans="1:8" s="145" customFormat="1" x14ac:dyDescent="0.25">
      <c r="A412" s="131"/>
      <c r="B412" s="136"/>
      <c r="C412" s="32" t="s">
        <v>133</v>
      </c>
      <c r="D412" s="24"/>
      <c r="E412" s="130">
        <v>20</v>
      </c>
      <c r="F412" s="138"/>
      <c r="G412" s="138"/>
      <c r="H412" s="39"/>
    </row>
    <row r="413" spans="1:8" s="145" customFormat="1" ht="14.45" customHeight="1" x14ac:dyDescent="0.25">
      <c r="A413" s="131"/>
      <c r="B413" s="136"/>
      <c r="C413" s="180" t="s">
        <v>132</v>
      </c>
      <c r="D413" s="24"/>
      <c r="E413" s="130">
        <v>1700</v>
      </c>
      <c r="F413" s="138"/>
      <c r="G413" s="138"/>
      <c r="H413" s="39"/>
    </row>
    <row r="414" spans="1:8" s="145" customFormat="1" ht="20.45" customHeight="1" x14ac:dyDescent="0.25">
      <c r="A414" s="131"/>
      <c r="B414" s="136"/>
      <c r="C414" s="32" t="s">
        <v>275</v>
      </c>
      <c r="D414" s="24"/>
      <c r="E414" s="130">
        <v>270</v>
      </c>
      <c r="F414" s="138"/>
      <c r="G414" s="138"/>
      <c r="H414" s="39"/>
    </row>
    <row r="415" spans="1:8" s="145" customFormat="1" ht="19.149999999999999" customHeight="1" x14ac:dyDescent="0.25">
      <c r="A415" s="131"/>
      <c r="B415" s="136"/>
      <c r="C415" s="32" t="s">
        <v>128</v>
      </c>
      <c r="D415" s="24"/>
      <c r="E415" s="130">
        <v>1500</v>
      </c>
      <c r="F415" s="138"/>
      <c r="G415" s="138"/>
      <c r="H415" s="39"/>
    </row>
    <row r="416" spans="1:8" s="145" customFormat="1" ht="45" x14ac:dyDescent="0.25">
      <c r="A416" s="131"/>
      <c r="B416" s="136"/>
      <c r="C416" s="32" t="s">
        <v>272</v>
      </c>
      <c r="D416" s="24"/>
      <c r="E416" s="130">
        <v>500</v>
      </c>
      <c r="F416" s="138"/>
      <c r="G416" s="138"/>
      <c r="H416" s="39"/>
    </row>
    <row r="417" spans="1:8" s="145" customFormat="1" x14ac:dyDescent="0.25">
      <c r="A417" s="131"/>
      <c r="B417" s="136"/>
      <c r="C417" s="32" t="s">
        <v>137</v>
      </c>
      <c r="D417" s="24"/>
      <c r="E417" s="130">
        <v>170</v>
      </c>
      <c r="F417" s="138"/>
      <c r="G417" s="138"/>
      <c r="H417" s="39"/>
    </row>
    <row r="418" spans="1:8" s="145" customFormat="1" ht="18.75" customHeight="1" x14ac:dyDescent="0.25">
      <c r="A418" s="131"/>
      <c r="B418" s="136"/>
      <c r="C418" s="32" t="s">
        <v>119</v>
      </c>
      <c r="D418" s="24"/>
      <c r="E418" s="130">
        <v>1200</v>
      </c>
      <c r="F418" s="138"/>
      <c r="G418" s="138"/>
      <c r="H418" s="39"/>
    </row>
    <row r="419" spans="1:8" s="145" customFormat="1" ht="30" x14ac:dyDescent="0.25">
      <c r="A419" s="131"/>
      <c r="B419" s="136"/>
      <c r="C419" s="188" t="s">
        <v>276</v>
      </c>
      <c r="D419" s="24"/>
      <c r="E419" s="130"/>
      <c r="F419" s="138"/>
      <c r="G419" s="138"/>
      <c r="H419" s="39"/>
    </row>
    <row r="420" spans="1:8" s="145" customFormat="1" ht="30" x14ac:dyDescent="0.25">
      <c r="A420" s="131"/>
      <c r="B420" s="136"/>
      <c r="C420" s="188" t="s">
        <v>277</v>
      </c>
      <c r="D420" s="24"/>
      <c r="E420" s="130"/>
      <c r="F420" s="138"/>
      <c r="G420" s="138"/>
      <c r="H420" s="39"/>
    </row>
    <row r="421" spans="1:8" s="145" customFormat="1" ht="30" x14ac:dyDescent="0.25">
      <c r="A421" s="131"/>
      <c r="B421" s="136"/>
      <c r="C421" s="188" t="s">
        <v>278</v>
      </c>
      <c r="D421" s="24"/>
      <c r="E421" s="130"/>
      <c r="F421" s="138"/>
      <c r="G421" s="138"/>
      <c r="H421" s="39"/>
    </row>
    <row r="422" spans="1:8" s="145" customFormat="1" ht="29.25" x14ac:dyDescent="0.25">
      <c r="A422" s="131"/>
      <c r="B422" s="136"/>
      <c r="C422" s="129" t="s">
        <v>266</v>
      </c>
      <c r="D422" s="24"/>
      <c r="E422" s="146">
        <f>SUM(E419:E421)</f>
        <v>0</v>
      </c>
      <c r="F422" s="138"/>
      <c r="G422" s="138"/>
      <c r="H422" s="39"/>
    </row>
    <row r="423" spans="1:8" s="145" customFormat="1" x14ac:dyDescent="0.25">
      <c r="A423" s="131"/>
      <c r="B423" s="136" t="s">
        <v>219</v>
      </c>
      <c r="C423" s="21" t="s">
        <v>195</v>
      </c>
      <c r="D423" s="24"/>
      <c r="E423" s="146">
        <f>E368</f>
        <v>47200</v>
      </c>
      <c r="F423" s="138"/>
      <c r="G423" s="138"/>
      <c r="H423" s="39"/>
    </row>
    <row r="424" spans="1:8" s="145" customFormat="1" ht="23.25" customHeight="1" x14ac:dyDescent="0.25">
      <c r="A424" s="131"/>
      <c r="B424" s="136" t="s">
        <v>219</v>
      </c>
      <c r="C424" s="21" t="s">
        <v>197</v>
      </c>
      <c r="D424" s="24"/>
      <c r="E424" s="146">
        <f>E375</f>
        <v>100</v>
      </c>
      <c r="F424" s="138"/>
      <c r="G424" s="138"/>
      <c r="H424" s="39"/>
    </row>
    <row r="425" spans="1:8" s="145" customFormat="1" ht="29.25" x14ac:dyDescent="0.25">
      <c r="A425" s="131"/>
      <c r="B425" s="136" t="s">
        <v>219</v>
      </c>
      <c r="C425" s="21" t="s">
        <v>198</v>
      </c>
      <c r="D425" s="24"/>
      <c r="E425" s="146">
        <f>E377</f>
        <v>0</v>
      </c>
      <c r="F425" s="138"/>
      <c r="G425" s="138"/>
      <c r="H425" s="39"/>
    </row>
    <row r="426" spans="1:8" s="145" customFormat="1" x14ac:dyDescent="0.25">
      <c r="A426" s="131"/>
      <c r="B426" s="136" t="s">
        <v>219</v>
      </c>
      <c r="C426" s="22" t="s">
        <v>112</v>
      </c>
      <c r="D426" s="24"/>
      <c r="E426" s="146">
        <f>E423+E424*2.6+E425</f>
        <v>47460</v>
      </c>
      <c r="F426" s="138"/>
      <c r="G426" s="138"/>
      <c r="H426" s="39"/>
    </row>
    <row r="427" spans="1:8" s="145" customFormat="1" ht="15.75" customHeight="1" x14ac:dyDescent="0.25">
      <c r="A427" s="131">
        <v>1</v>
      </c>
      <c r="B427" s="136" t="s">
        <v>219</v>
      </c>
      <c r="C427" s="30" t="s">
        <v>7</v>
      </c>
      <c r="D427" s="24"/>
      <c r="E427" s="225"/>
      <c r="F427" s="138"/>
      <c r="G427" s="138"/>
      <c r="H427" s="39"/>
    </row>
    <row r="428" spans="1:8" s="145" customFormat="1" ht="18.75" customHeight="1" x14ac:dyDescent="0.25">
      <c r="A428" s="131">
        <v>1</v>
      </c>
      <c r="B428" s="136" t="s">
        <v>219</v>
      </c>
      <c r="C428" s="40" t="s">
        <v>93</v>
      </c>
      <c r="D428" s="24"/>
      <c r="E428" s="225"/>
      <c r="F428" s="138"/>
      <c r="G428" s="226"/>
      <c r="H428" s="227"/>
    </row>
    <row r="429" spans="1:8" s="145" customFormat="1" ht="15.75" customHeight="1" x14ac:dyDescent="0.25">
      <c r="A429" s="131">
        <v>1</v>
      </c>
      <c r="B429" s="136" t="s">
        <v>219</v>
      </c>
      <c r="C429" s="32" t="s">
        <v>86</v>
      </c>
      <c r="D429" s="24">
        <v>330</v>
      </c>
      <c r="E429" s="225">
        <v>1473</v>
      </c>
      <c r="F429" s="228">
        <v>12.4</v>
      </c>
      <c r="G429" s="2">
        <f>ROUND(H429/D429,0)</f>
        <v>55</v>
      </c>
      <c r="H429" s="10">
        <f>ROUND(E429*F429,0)</f>
        <v>18265</v>
      </c>
    </row>
    <row r="430" spans="1:8" s="145" customFormat="1" ht="16.5" customHeight="1" x14ac:dyDescent="0.25">
      <c r="A430" s="131">
        <v>1</v>
      </c>
      <c r="B430" s="136" t="s">
        <v>219</v>
      </c>
      <c r="C430" s="32" t="s">
        <v>68</v>
      </c>
      <c r="D430" s="24">
        <v>330</v>
      </c>
      <c r="E430" s="225">
        <v>840</v>
      </c>
      <c r="F430" s="228">
        <v>36.9</v>
      </c>
      <c r="G430" s="2">
        <f>ROUND(H430/D430,0)</f>
        <v>94</v>
      </c>
      <c r="H430" s="10">
        <f>ROUND(E430*F430,0)</f>
        <v>30996</v>
      </c>
    </row>
    <row r="431" spans="1:8" s="145" customFormat="1" ht="17.25" customHeight="1" x14ac:dyDescent="0.25">
      <c r="A431" s="131">
        <v>1</v>
      </c>
      <c r="B431" s="136" t="s">
        <v>219</v>
      </c>
      <c r="C431" s="30" t="s">
        <v>9</v>
      </c>
      <c r="D431" s="229"/>
      <c r="E431" s="696">
        <f>SUM(E429:E430)</f>
        <v>2313</v>
      </c>
      <c r="F431" s="181">
        <f>H431/E431</f>
        <v>21.297449200172935</v>
      </c>
      <c r="G431" s="697">
        <f>G429+G430</f>
        <v>149</v>
      </c>
      <c r="H431" s="697">
        <f>H429+H430</f>
        <v>49261</v>
      </c>
    </row>
    <row r="432" spans="1:8" s="145" customFormat="1" ht="17.25" customHeight="1" x14ac:dyDescent="0.25">
      <c r="A432" s="131"/>
      <c r="B432" s="136"/>
      <c r="C432" s="143" t="s">
        <v>207</v>
      </c>
      <c r="D432" s="229"/>
      <c r="E432" s="696">
        <v>15</v>
      </c>
      <c r="F432" s="181"/>
      <c r="G432" s="698"/>
      <c r="H432" s="698"/>
    </row>
    <row r="433" spans="1:8" s="145" customFormat="1" ht="16.5" customHeight="1" x14ac:dyDescent="0.25">
      <c r="A433" s="131">
        <v>1</v>
      </c>
      <c r="B433" s="136" t="s">
        <v>219</v>
      </c>
      <c r="C433" s="40" t="s">
        <v>18</v>
      </c>
      <c r="D433" s="24"/>
      <c r="E433" s="225"/>
      <c r="F433" s="228"/>
      <c r="G433" s="2"/>
      <c r="H433" s="10"/>
    </row>
    <row r="434" spans="1:8" s="145" customFormat="1" ht="14.25" customHeight="1" x14ac:dyDescent="0.25">
      <c r="A434" s="131">
        <v>1</v>
      </c>
      <c r="B434" s="136" t="s">
        <v>219</v>
      </c>
      <c r="C434" s="25" t="s">
        <v>86</v>
      </c>
      <c r="D434" s="24">
        <v>240</v>
      </c>
      <c r="E434" s="225">
        <v>3678</v>
      </c>
      <c r="F434" s="228">
        <v>8.6</v>
      </c>
      <c r="G434" s="2">
        <f>ROUND(H434/D434,0)</f>
        <v>132</v>
      </c>
      <c r="H434" s="10">
        <f>ROUND(E434*F434,0)</f>
        <v>31631</v>
      </c>
    </row>
    <row r="435" spans="1:8" s="145" customFormat="1" ht="14.25" customHeight="1" x14ac:dyDescent="0.25">
      <c r="A435" s="131">
        <v>1</v>
      </c>
      <c r="B435" s="136" t="s">
        <v>219</v>
      </c>
      <c r="C435" s="25" t="s">
        <v>79</v>
      </c>
      <c r="D435" s="153">
        <v>240</v>
      </c>
      <c r="E435" s="225">
        <v>408</v>
      </c>
      <c r="F435" s="230">
        <v>5.6</v>
      </c>
      <c r="G435" s="2">
        <f>ROUND(H435/D435,0)</f>
        <v>10</v>
      </c>
      <c r="H435" s="10">
        <f>ROUND(E435*F435,0)</f>
        <v>2285</v>
      </c>
    </row>
    <row r="436" spans="1:8" s="145" customFormat="1" ht="18.75" customHeight="1" x14ac:dyDescent="0.25">
      <c r="A436" s="131">
        <v>1</v>
      </c>
      <c r="B436" s="136" t="s">
        <v>219</v>
      </c>
      <c r="C436" s="154" t="s">
        <v>94</v>
      </c>
      <c r="D436" s="24"/>
      <c r="E436" s="231">
        <f>SUM(E434:E435)</f>
        <v>4086</v>
      </c>
      <c r="F436" s="151">
        <f>H436/E436</f>
        <v>8.3005384238864419</v>
      </c>
      <c r="G436" s="232">
        <f>SUM(G434:G435)</f>
        <v>142</v>
      </c>
      <c r="H436" s="232">
        <f>SUM(H434:H435)</f>
        <v>33916</v>
      </c>
    </row>
    <row r="437" spans="1:8" s="145" customFormat="1" ht="15" customHeight="1" x14ac:dyDescent="0.25">
      <c r="A437" s="131">
        <v>1</v>
      </c>
      <c r="B437" s="136" t="s">
        <v>219</v>
      </c>
      <c r="C437" s="26" t="s">
        <v>88</v>
      </c>
      <c r="D437" s="233"/>
      <c r="E437" s="699">
        <f>E431+E436</f>
        <v>6399</v>
      </c>
      <c r="F437" s="234">
        <f>H437/E437</f>
        <v>12.998437255821223</v>
      </c>
      <c r="G437" s="235">
        <f>G431+G436</f>
        <v>291</v>
      </c>
      <c r="H437" s="235">
        <f>H431+H436</f>
        <v>83177</v>
      </c>
    </row>
    <row r="438" spans="1:8" s="145" customFormat="1" ht="9" customHeight="1" thickBot="1" x14ac:dyDescent="0.3">
      <c r="A438" s="131"/>
      <c r="B438" s="136" t="s">
        <v>219</v>
      </c>
      <c r="C438" s="185"/>
      <c r="D438" s="233"/>
      <c r="E438" s="236"/>
      <c r="F438" s="237"/>
      <c r="G438" s="238"/>
      <c r="H438" s="239"/>
    </row>
    <row r="439" spans="1:8" s="173" customFormat="1" ht="19.5" customHeight="1" thickBot="1" x14ac:dyDescent="0.3">
      <c r="A439" s="131">
        <v>1</v>
      </c>
      <c r="B439" s="131"/>
      <c r="C439" s="168" t="s">
        <v>213</v>
      </c>
      <c r="D439" s="169"/>
      <c r="E439" s="194"/>
      <c r="F439" s="195"/>
      <c r="G439" s="196"/>
      <c r="H439" s="197"/>
    </row>
    <row r="440" spans="1:8" s="173" customFormat="1" ht="57.75" hidden="1" x14ac:dyDescent="0.25">
      <c r="A440" s="131">
        <v>1</v>
      </c>
      <c r="B440" s="131" t="s">
        <v>220</v>
      </c>
      <c r="C440" s="686" t="s">
        <v>309</v>
      </c>
      <c r="D440" s="700"/>
      <c r="E440" s="701"/>
      <c r="F440" s="700"/>
      <c r="G440" s="700"/>
      <c r="H440" s="700"/>
    </row>
    <row r="441" spans="1:8" s="173" customFormat="1" hidden="1" x14ac:dyDescent="0.25">
      <c r="A441" s="131">
        <v>1</v>
      </c>
      <c r="B441" s="131" t="s">
        <v>220</v>
      </c>
      <c r="C441" s="12" t="s">
        <v>98</v>
      </c>
      <c r="D441" s="24"/>
      <c r="E441" s="240"/>
      <c r="F441" s="24"/>
      <c r="G441" s="24"/>
      <c r="H441" s="24"/>
    </row>
    <row r="442" spans="1:8" s="173" customFormat="1" ht="43.5" hidden="1" x14ac:dyDescent="0.25">
      <c r="A442" s="131"/>
      <c r="B442" s="131" t="s">
        <v>220</v>
      </c>
      <c r="C442" s="14" t="s">
        <v>258</v>
      </c>
      <c r="D442" s="24"/>
      <c r="E442" s="702">
        <f>E443+E444+E448+E449+E450</f>
        <v>100072</v>
      </c>
      <c r="F442" s="24"/>
      <c r="G442" s="24"/>
      <c r="H442" s="24"/>
    </row>
    <row r="443" spans="1:8" s="173" customFormat="1" hidden="1" x14ac:dyDescent="0.25">
      <c r="A443" s="131"/>
      <c r="B443" s="131" t="s">
        <v>220</v>
      </c>
      <c r="C443" s="15" t="s">
        <v>252</v>
      </c>
      <c r="D443" s="24"/>
      <c r="E443" s="130">
        <v>21400</v>
      </c>
      <c r="F443" s="24"/>
      <c r="G443" s="24"/>
      <c r="H443" s="24"/>
    </row>
    <row r="444" spans="1:8" s="173" customFormat="1" ht="30" hidden="1" x14ac:dyDescent="0.25">
      <c r="A444" s="131"/>
      <c r="B444" s="131" t="s">
        <v>220</v>
      </c>
      <c r="C444" s="16" t="s">
        <v>388</v>
      </c>
      <c r="D444" s="24"/>
      <c r="E444" s="130">
        <f>E445+E446/4+E447</f>
        <v>53825</v>
      </c>
      <c r="F444" s="24"/>
      <c r="G444" s="24"/>
      <c r="H444" s="24"/>
    </row>
    <row r="445" spans="1:8" s="145" customFormat="1" hidden="1" x14ac:dyDescent="0.25">
      <c r="A445" s="131"/>
      <c r="B445" s="131" t="s">
        <v>220</v>
      </c>
      <c r="C445" s="15" t="s">
        <v>389</v>
      </c>
      <c r="D445" s="13"/>
      <c r="E445" s="130">
        <v>45000</v>
      </c>
      <c r="F445" s="10"/>
      <c r="G445" s="10"/>
      <c r="H445" s="10"/>
    </row>
    <row r="446" spans="1:8" s="173" customFormat="1" ht="30" hidden="1" x14ac:dyDescent="0.25">
      <c r="A446" s="131"/>
      <c r="B446" s="131" t="s">
        <v>220</v>
      </c>
      <c r="C446" s="15" t="s">
        <v>390</v>
      </c>
      <c r="D446" s="24"/>
      <c r="E446" s="130">
        <v>3300</v>
      </c>
      <c r="F446" s="24"/>
      <c r="G446" s="24"/>
      <c r="H446" s="24"/>
    </row>
    <row r="447" spans="1:8" s="173" customFormat="1" ht="45" hidden="1" x14ac:dyDescent="0.25">
      <c r="A447" s="131"/>
      <c r="B447" s="131" t="s">
        <v>220</v>
      </c>
      <c r="C447" s="15" t="s">
        <v>391</v>
      </c>
      <c r="D447" s="24"/>
      <c r="E447" s="130">
        <v>8000</v>
      </c>
      <c r="F447" s="24"/>
      <c r="G447" s="24"/>
      <c r="H447" s="24"/>
    </row>
    <row r="448" spans="1:8" s="173" customFormat="1" ht="60" hidden="1" x14ac:dyDescent="0.25">
      <c r="A448" s="131"/>
      <c r="B448" s="131" t="s">
        <v>220</v>
      </c>
      <c r="C448" s="15" t="s">
        <v>392</v>
      </c>
      <c r="D448" s="24"/>
      <c r="E448" s="130">
        <v>3002</v>
      </c>
      <c r="F448" s="24"/>
      <c r="G448" s="24"/>
      <c r="H448" s="24"/>
    </row>
    <row r="449" spans="1:8" s="173" customFormat="1" ht="45" hidden="1" x14ac:dyDescent="0.25">
      <c r="A449" s="131"/>
      <c r="B449" s="131" t="s">
        <v>220</v>
      </c>
      <c r="C449" s="18" t="s">
        <v>393</v>
      </c>
      <c r="D449" s="24"/>
      <c r="E449" s="130">
        <v>11845</v>
      </c>
      <c r="F449" s="24"/>
      <c r="G449" s="24"/>
      <c r="H449" s="24"/>
    </row>
    <row r="450" spans="1:8" s="173" customFormat="1" ht="75" hidden="1" x14ac:dyDescent="0.25">
      <c r="A450" s="131"/>
      <c r="B450" s="131"/>
      <c r="C450" s="18" t="s">
        <v>394</v>
      </c>
      <c r="D450" s="24"/>
      <c r="E450" s="130">
        <v>10000</v>
      </c>
      <c r="F450" s="24"/>
      <c r="G450" s="24"/>
      <c r="H450" s="24"/>
    </row>
    <row r="451" spans="1:8" s="173" customFormat="1" ht="27.75" hidden="1" customHeight="1" x14ac:dyDescent="0.25">
      <c r="A451" s="131">
        <v>1</v>
      </c>
      <c r="B451" s="131" t="s">
        <v>220</v>
      </c>
      <c r="C451" s="14" t="s">
        <v>260</v>
      </c>
      <c r="D451" s="24"/>
      <c r="E451" s="146">
        <f>E452+E453</f>
        <v>43980.851063829788</v>
      </c>
      <c r="F451" s="24"/>
      <c r="G451" s="24"/>
      <c r="H451" s="24"/>
    </row>
    <row r="452" spans="1:8" s="173" customFormat="1" hidden="1" x14ac:dyDescent="0.25">
      <c r="A452" s="131"/>
      <c r="B452" s="131" t="s">
        <v>220</v>
      </c>
      <c r="C452" s="14" t="s">
        <v>254</v>
      </c>
      <c r="D452" s="24"/>
      <c r="E452" s="130">
        <v>38800</v>
      </c>
      <c r="F452" s="24"/>
      <c r="G452" s="24"/>
      <c r="H452" s="24"/>
    </row>
    <row r="453" spans="1:8" s="173" customFormat="1" hidden="1" x14ac:dyDescent="0.25">
      <c r="A453" s="131"/>
      <c r="B453" s="131" t="s">
        <v>220</v>
      </c>
      <c r="C453" s="15" t="s">
        <v>255</v>
      </c>
      <c r="D453" s="24"/>
      <c r="E453" s="130">
        <f>E454/9.4</f>
        <v>5180.8510638297867</v>
      </c>
      <c r="F453" s="24"/>
      <c r="G453" s="24"/>
      <c r="H453" s="24"/>
    </row>
    <row r="454" spans="1:8" s="173" customFormat="1" hidden="1" x14ac:dyDescent="0.25">
      <c r="A454" s="131"/>
      <c r="B454" s="131" t="s">
        <v>220</v>
      </c>
      <c r="C454" s="241" t="s">
        <v>261</v>
      </c>
      <c r="D454" s="24"/>
      <c r="E454" s="130">
        <v>48700</v>
      </c>
      <c r="F454" s="24"/>
      <c r="G454" s="24"/>
      <c r="H454" s="24"/>
    </row>
    <row r="455" spans="1:8" s="173" customFormat="1" ht="29.25" hidden="1" x14ac:dyDescent="0.25">
      <c r="A455" s="131">
        <v>1</v>
      </c>
      <c r="B455" s="131" t="s">
        <v>220</v>
      </c>
      <c r="C455" s="14" t="s">
        <v>262</v>
      </c>
      <c r="D455" s="24"/>
      <c r="E455" s="130"/>
      <c r="F455" s="24"/>
      <c r="G455" s="24"/>
      <c r="H455" s="24"/>
    </row>
    <row r="456" spans="1:8" s="173" customFormat="1" ht="30" hidden="1" x14ac:dyDescent="0.25">
      <c r="A456" s="131">
        <v>1</v>
      </c>
      <c r="B456" s="131" t="s">
        <v>220</v>
      </c>
      <c r="C456" s="19" t="s">
        <v>117</v>
      </c>
      <c r="D456" s="24"/>
      <c r="E456" s="130"/>
      <c r="F456" s="24"/>
      <c r="G456" s="24"/>
      <c r="H456" s="24"/>
    </row>
    <row r="457" spans="1:8" s="173" customFormat="1" ht="57.75" hidden="1" x14ac:dyDescent="0.25">
      <c r="A457" s="131">
        <v>1</v>
      </c>
      <c r="B457" s="131" t="s">
        <v>220</v>
      </c>
      <c r="C457" s="14" t="s">
        <v>257</v>
      </c>
      <c r="D457" s="24"/>
      <c r="E457" s="130"/>
      <c r="F457" s="24"/>
      <c r="G457" s="24"/>
      <c r="H457" s="24"/>
    </row>
    <row r="458" spans="1:8" s="173" customFormat="1" ht="15.75" hidden="1" x14ac:dyDescent="0.25">
      <c r="A458" s="131">
        <v>1</v>
      </c>
      <c r="B458" s="131" t="s">
        <v>220</v>
      </c>
      <c r="C458" s="208" t="s">
        <v>165</v>
      </c>
      <c r="D458" s="24"/>
      <c r="E458" s="155">
        <f>SUM(E459:E500)</f>
        <v>604330</v>
      </c>
      <c r="F458" s="229"/>
      <c r="G458" s="229"/>
      <c r="H458" s="229"/>
    </row>
    <row r="459" spans="1:8" s="173" customFormat="1" ht="30" hidden="1" x14ac:dyDescent="0.25">
      <c r="A459" s="131">
        <v>1</v>
      </c>
      <c r="B459" s="131" t="s">
        <v>220</v>
      </c>
      <c r="C459" s="32" t="s">
        <v>124</v>
      </c>
      <c r="D459" s="24"/>
      <c r="E459" s="130">
        <v>166230</v>
      </c>
      <c r="F459" s="24"/>
      <c r="G459" s="24"/>
      <c r="H459" s="24"/>
    </row>
    <row r="460" spans="1:8" s="173" customFormat="1" ht="30" hidden="1" x14ac:dyDescent="0.25">
      <c r="A460" s="131">
        <v>1</v>
      </c>
      <c r="B460" s="131" t="s">
        <v>220</v>
      </c>
      <c r="C460" s="35" t="s">
        <v>125</v>
      </c>
      <c r="D460" s="24"/>
      <c r="E460" s="130">
        <v>9000</v>
      </c>
      <c r="F460" s="24"/>
      <c r="G460" s="24"/>
      <c r="H460" s="24"/>
    </row>
    <row r="461" spans="1:8" s="173" customFormat="1" hidden="1" x14ac:dyDescent="0.25">
      <c r="A461" s="131"/>
      <c r="B461" s="131"/>
      <c r="C461" s="35" t="s">
        <v>134</v>
      </c>
      <c r="D461" s="24"/>
      <c r="E461" s="130">
        <v>250</v>
      </c>
      <c r="F461" s="24"/>
      <c r="G461" s="24"/>
      <c r="H461" s="24"/>
    </row>
    <row r="462" spans="1:8" s="173" customFormat="1" hidden="1" x14ac:dyDescent="0.25">
      <c r="A462" s="131">
        <v>1</v>
      </c>
      <c r="B462" s="131" t="s">
        <v>220</v>
      </c>
      <c r="C462" s="35" t="s">
        <v>173</v>
      </c>
      <c r="D462" s="24"/>
      <c r="E462" s="130">
        <v>3100</v>
      </c>
      <c r="F462" s="24"/>
      <c r="G462" s="24"/>
      <c r="H462" s="24"/>
    </row>
    <row r="463" spans="1:8" s="173" customFormat="1" ht="30" hidden="1" x14ac:dyDescent="0.25">
      <c r="A463" s="131">
        <v>1</v>
      </c>
      <c r="B463" s="131" t="s">
        <v>220</v>
      </c>
      <c r="C463" s="35" t="s">
        <v>289</v>
      </c>
      <c r="D463" s="24"/>
      <c r="E463" s="130">
        <v>1005</v>
      </c>
      <c r="F463" s="24"/>
      <c r="G463" s="24"/>
      <c r="H463" s="24"/>
    </row>
    <row r="464" spans="1:8" s="173" customFormat="1" hidden="1" x14ac:dyDescent="0.25">
      <c r="A464" s="131"/>
      <c r="B464" s="131"/>
      <c r="C464" s="35" t="s">
        <v>407</v>
      </c>
      <c r="D464" s="24"/>
      <c r="E464" s="130">
        <v>1200</v>
      </c>
      <c r="F464" s="24"/>
      <c r="G464" s="24"/>
      <c r="H464" s="24"/>
    </row>
    <row r="465" spans="1:8" s="173" customFormat="1" ht="30" hidden="1" x14ac:dyDescent="0.25">
      <c r="A465" s="131"/>
      <c r="B465" s="131"/>
      <c r="C465" s="35" t="s">
        <v>410</v>
      </c>
      <c r="D465" s="24"/>
      <c r="E465" s="130"/>
      <c r="F465" s="24"/>
      <c r="G465" s="24"/>
      <c r="H465" s="24"/>
    </row>
    <row r="466" spans="1:8" s="173" customFormat="1" ht="53.25" hidden="1" customHeight="1" x14ac:dyDescent="0.25">
      <c r="A466" s="131">
        <v>1</v>
      </c>
      <c r="B466" s="131" t="s">
        <v>220</v>
      </c>
      <c r="C466" s="35" t="s">
        <v>135</v>
      </c>
      <c r="D466" s="24"/>
      <c r="E466" s="130">
        <v>37500</v>
      </c>
      <c r="F466" s="24"/>
      <c r="G466" s="24" t="s">
        <v>287</v>
      </c>
      <c r="H466" s="24"/>
    </row>
    <row r="467" spans="1:8" s="173" customFormat="1" hidden="1" x14ac:dyDescent="0.25">
      <c r="A467" s="131"/>
      <c r="B467" s="131"/>
      <c r="C467" s="35" t="s">
        <v>140</v>
      </c>
      <c r="D467" s="24"/>
      <c r="E467" s="130">
        <v>15</v>
      </c>
      <c r="F467" s="24"/>
      <c r="G467" s="24"/>
      <c r="H467" s="24"/>
    </row>
    <row r="468" spans="1:8" s="173" customFormat="1" ht="38.25" hidden="1" customHeight="1" x14ac:dyDescent="0.25">
      <c r="A468" s="131">
        <v>1</v>
      </c>
      <c r="B468" s="131" t="s">
        <v>220</v>
      </c>
      <c r="C468" s="35" t="s">
        <v>285</v>
      </c>
      <c r="D468" s="24"/>
      <c r="E468" s="130"/>
      <c r="F468" s="24"/>
      <c r="G468" s="24"/>
      <c r="H468" s="24"/>
    </row>
    <row r="469" spans="1:8" s="173" customFormat="1" hidden="1" x14ac:dyDescent="0.25">
      <c r="A469" s="131">
        <v>1</v>
      </c>
      <c r="B469" s="131" t="s">
        <v>220</v>
      </c>
      <c r="C469" s="35" t="s">
        <v>53</v>
      </c>
      <c r="D469" s="24"/>
      <c r="E469" s="130">
        <v>18600</v>
      </c>
      <c r="F469" s="24"/>
      <c r="G469" s="24"/>
      <c r="H469" s="24"/>
    </row>
    <row r="470" spans="1:8" s="173" customFormat="1" ht="14.25" hidden="1" customHeight="1" x14ac:dyDescent="0.25">
      <c r="A470" s="131">
        <v>1</v>
      </c>
      <c r="B470" s="131" t="s">
        <v>220</v>
      </c>
      <c r="C470" s="212" t="s">
        <v>17</v>
      </c>
      <c r="D470" s="24"/>
      <c r="E470" s="130">
        <v>7000</v>
      </c>
      <c r="F470" s="24"/>
      <c r="G470" s="24"/>
      <c r="H470" s="24"/>
    </row>
    <row r="471" spans="1:8" s="173" customFormat="1" ht="30" hidden="1" x14ac:dyDescent="0.25">
      <c r="A471" s="131">
        <v>1</v>
      </c>
      <c r="B471" s="131" t="s">
        <v>220</v>
      </c>
      <c r="C471" s="148" t="s">
        <v>139</v>
      </c>
      <c r="D471" s="24"/>
      <c r="E471" s="130">
        <v>4100</v>
      </c>
      <c r="F471" s="24"/>
      <c r="G471" s="24"/>
      <c r="H471" s="24"/>
    </row>
    <row r="472" spans="1:8" s="173" customFormat="1" ht="26.25" hidden="1" customHeight="1" x14ac:dyDescent="0.25">
      <c r="A472" s="131">
        <v>1</v>
      </c>
      <c r="B472" s="131" t="s">
        <v>220</v>
      </c>
      <c r="C472" s="35" t="s">
        <v>147</v>
      </c>
      <c r="D472" s="24"/>
      <c r="E472" s="130">
        <v>177000</v>
      </c>
      <c r="F472" s="24"/>
      <c r="G472" s="24"/>
      <c r="H472" s="24"/>
    </row>
    <row r="473" spans="1:8" s="173" customFormat="1" ht="24" hidden="1" customHeight="1" x14ac:dyDescent="0.25">
      <c r="A473" s="131">
        <v>1</v>
      </c>
      <c r="B473" s="131" t="s">
        <v>220</v>
      </c>
      <c r="C473" s="35" t="s">
        <v>284</v>
      </c>
      <c r="D473" s="24"/>
      <c r="E473" s="130">
        <v>200</v>
      </c>
      <c r="F473" s="24"/>
      <c r="G473" s="24"/>
      <c r="H473" s="24"/>
    </row>
    <row r="474" spans="1:8" s="173" customFormat="1" ht="33" hidden="1" customHeight="1" x14ac:dyDescent="0.25">
      <c r="A474" s="131">
        <v>1</v>
      </c>
      <c r="B474" s="131" t="s">
        <v>220</v>
      </c>
      <c r="C474" s="35" t="s">
        <v>127</v>
      </c>
      <c r="D474" s="24"/>
      <c r="E474" s="130">
        <v>1100</v>
      </c>
      <c r="F474" s="24"/>
      <c r="G474" s="24"/>
      <c r="H474" s="24"/>
    </row>
    <row r="475" spans="1:8" s="173" customFormat="1" ht="47.25" hidden="1" customHeight="1" x14ac:dyDescent="0.25">
      <c r="A475" s="131"/>
      <c r="B475" s="131"/>
      <c r="C475" s="35" t="s">
        <v>409</v>
      </c>
      <c r="D475" s="24"/>
      <c r="E475" s="130">
        <v>1000</v>
      </c>
      <c r="F475" s="24"/>
      <c r="G475" s="24"/>
      <c r="H475" s="24"/>
    </row>
    <row r="476" spans="1:8" s="173" customFormat="1" ht="34.5" hidden="1" customHeight="1" x14ac:dyDescent="0.25">
      <c r="A476" s="131">
        <v>1</v>
      </c>
      <c r="B476" s="131" t="s">
        <v>220</v>
      </c>
      <c r="C476" s="35" t="s">
        <v>416</v>
      </c>
      <c r="D476" s="24"/>
      <c r="E476" s="130">
        <v>8940</v>
      </c>
      <c r="F476" s="24"/>
      <c r="G476" s="24"/>
      <c r="H476" s="24"/>
    </row>
    <row r="477" spans="1:8" s="173" customFormat="1" ht="54" hidden="1" customHeight="1" x14ac:dyDescent="0.25">
      <c r="A477" s="131"/>
      <c r="B477" s="131" t="s">
        <v>220</v>
      </c>
      <c r="C477" s="25" t="s">
        <v>242</v>
      </c>
      <c r="D477" s="24"/>
      <c r="E477" s="130">
        <v>34216</v>
      </c>
      <c r="F477" s="24"/>
      <c r="G477" s="24"/>
      <c r="H477" s="24"/>
    </row>
    <row r="478" spans="1:8" s="173" customFormat="1" ht="60" hidden="1" x14ac:dyDescent="0.25">
      <c r="A478" s="131">
        <v>1</v>
      </c>
      <c r="B478" s="131" t="s">
        <v>220</v>
      </c>
      <c r="C478" s="35" t="s">
        <v>246</v>
      </c>
      <c r="D478" s="24"/>
      <c r="E478" s="130">
        <v>1200</v>
      </c>
      <c r="F478" s="24"/>
      <c r="G478" s="24"/>
      <c r="H478" s="24"/>
    </row>
    <row r="479" spans="1:8" s="173" customFormat="1" ht="75" hidden="1" x14ac:dyDescent="0.25">
      <c r="A479" s="131">
        <v>1</v>
      </c>
      <c r="B479" s="131" t="s">
        <v>220</v>
      </c>
      <c r="C479" s="35" t="s">
        <v>267</v>
      </c>
      <c r="D479" s="24"/>
      <c r="E479" s="130">
        <v>3900</v>
      </c>
      <c r="F479" s="24"/>
      <c r="G479" s="24"/>
      <c r="H479" s="24"/>
    </row>
    <row r="480" spans="1:8" s="173" customFormat="1" ht="30" hidden="1" customHeight="1" x14ac:dyDescent="0.25">
      <c r="A480" s="131">
        <v>1</v>
      </c>
      <c r="B480" s="131" t="s">
        <v>220</v>
      </c>
      <c r="C480" s="35" t="s">
        <v>95</v>
      </c>
      <c r="D480" s="24"/>
      <c r="E480" s="130">
        <v>729</v>
      </c>
      <c r="F480" s="24"/>
      <c r="G480" s="24"/>
      <c r="H480" s="24"/>
    </row>
    <row r="481" spans="1:8" s="173" customFormat="1" ht="43.5" hidden="1" customHeight="1" x14ac:dyDescent="0.25">
      <c r="A481" s="131"/>
      <c r="B481" s="131"/>
      <c r="C481" s="32" t="s">
        <v>146</v>
      </c>
      <c r="D481" s="24"/>
      <c r="E481" s="130">
        <v>200</v>
      </c>
      <c r="F481" s="24"/>
      <c r="G481" s="24"/>
      <c r="H481" s="24"/>
    </row>
    <row r="482" spans="1:8" s="173" customFormat="1" ht="30" hidden="1" customHeight="1" x14ac:dyDescent="0.25">
      <c r="A482" s="131"/>
      <c r="B482" s="131"/>
      <c r="C482" s="35" t="s">
        <v>101</v>
      </c>
      <c r="D482" s="24"/>
      <c r="E482" s="130">
        <v>6200</v>
      </c>
      <c r="F482" s="24"/>
      <c r="G482" s="24"/>
      <c r="H482" s="24"/>
    </row>
    <row r="483" spans="1:8" s="173" customFormat="1" ht="30" hidden="1" customHeight="1" x14ac:dyDescent="0.25">
      <c r="A483" s="131">
        <v>1</v>
      </c>
      <c r="B483" s="131" t="s">
        <v>220</v>
      </c>
      <c r="C483" s="35" t="s">
        <v>50</v>
      </c>
      <c r="D483" s="24"/>
      <c r="E483" s="130">
        <v>20000</v>
      </c>
      <c r="F483" s="24"/>
      <c r="G483" s="24"/>
      <c r="H483" s="24"/>
    </row>
    <row r="484" spans="1:8" s="173" customFormat="1" ht="22.5" hidden="1" customHeight="1" x14ac:dyDescent="0.25">
      <c r="A484" s="131"/>
      <c r="B484" s="131" t="s">
        <v>220</v>
      </c>
      <c r="C484" s="35" t="s">
        <v>136</v>
      </c>
      <c r="D484" s="24"/>
      <c r="E484" s="130">
        <v>8400</v>
      </c>
      <c r="F484" s="24"/>
      <c r="G484" s="24"/>
      <c r="H484" s="24"/>
    </row>
    <row r="485" spans="1:8" s="173" customFormat="1" hidden="1" x14ac:dyDescent="0.25">
      <c r="A485" s="131"/>
      <c r="B485" s="131" t="s">
        <v>220</v>
      </c>
      <c r="C485" s="35" t="s">
        <v>275</v>
      </c>
      <c r="D485" s="24"/>
      <c r="E485" s="130">
        <v>160</v>
      </c>
      <c r="F485" s="24"/>
      <c r="G485" s="24"/>
      <c r="H485" s="24"/>
    </row>
    <row r="486" spans="1:8" s="173" customFormat="1" ht="18.75" hidden="1" customHeight="1" x14ac:dyDescent="0.25">
      <c r="A486" s="131">
        <v>1</v>
      </c>
      <c r="B486" s="131" t="s">
        <v>220</v>
      </c>
      <c r="C486" s="35" t="s">
        <v>54</v>
      </c>
      <c r="D486" s="24"/>
      <c r="E486" s="130">
        <v>735</v>
      </c>
      <c r="F486" s="24"/>
      <c r="G486" s="24"/>
      <c r="H486" s="24"/>
    </row>
    <row r="487" spans="1:8" s="173" customFormat="1" hidden="1" x14ac:dyDescent="0.25">
      <c r="A487" s="131">
        <v>1</v>
      </c>
      <c r="B487" s="131" t="s">
        <v>220</v>
      </c>
      <c r="C487" s="212" t="s">
        <v>52</v>
      </c>
      <c r="D487" s="24"/>
      <c r="E487" s="130">
        <v>1200</v>
      </c>
      <c r="F487" s="24"/>
      <c r="G487" s="24"/>
      <c r="H487" s="24"/>
    </row>
    <row r="488" spans="1:8" s="173" customFormat="1" ht="30" hidden="1" x14ac:dyDescent="0.25">
      <c r="A488" s="131">
        <v>1</v>
      </c>
      <c r="B488" s="131" t="s">
        <v>220</v>
      </c>
      <c r="C488" s="35" t="s">
        <v>148</v>
      </c>
      <c r="D488" s="24"/>
      <c r="E488" s="130">
        <v>600</v>
      </c>
      <c r="F488" s="24"/>
      <c r="G488" s="24"/>
      <c r="H488" s="24"/>
    </row>
    <row r="489" spans="1:8" s="173" customFormat="1" hidden="1" x14ac:dyDescent="0.25">
      <c r="A489" s="131">
        <v>1</v>
      </c>
      <c r="B489" s="131" t="s">
        <v>220</v>
      </c>
      <c r="C489" s="148" t="s">
        <v>188</v>
      </c>
      <c r="D489" s="24"/>
      <c r="E489" s="130">
        <v>38000</v>
      </c>
      <c r="F489" s="24"/>
      <c r="G489" s="24"/>
      <c r="H489" s="24"/>
    </row>
    <row r="490" spans="1:8" s="173" customFormat="1" ht="30" hidden="1" x14ac:dyDescent="0.25">
      <c r="A490" s="131">
        <v>1</v>
      </c>
      <c r="B490" s="131" t="s">
        <v>220</v>
      </c>
      <c r="C490" s="35" t="s">
        <v>200</v>
      </c>
      <c r="D490" s="24"/>
      <c r="E490" s="130">
        <v>4000</v>
      </c>
      <c r="F490" s="24"/>
      <c r="G490" s="24"/>
      <c r="H490" s="24"/>
    </row>
    <row r="491" spans="1:8" s="173" customFormat="1" ht="30" hidden="1" x14ac:dyDescent="0.25">
      <c r="A491" s="131">
        <v>1</v>
      </c>
      <c r="B491" s="131" t="s">
        <v>220</v>
      </c>
      <c r="C491" s="35" t="s">
        <v>199</v>
      </c>
      <c r="D491" s="24"/>
      <c r="E491" s="130">
        <v>2000</v>
      </c>
      <c r="F491" s="24"/>
      <c r="G491" s="24"/>
      <c r="H491" s="24"/>
    </row>
    <row r="492" spans="1:8" s="173" customFormat="1" hidden="1" x14ac:dyDescent="0.25">
      <c r="A492" s="131">
        <v>1</v>
      </c>
      <c r="B492" s="131" t="s">
        <v>220</v>
      </c>
      <c r="C492" s="35" t="s">
        <v>137</v>
      </c>
      <c r="D492" s="24"/>
      <c r="E492" s="130">
        <v>150</v>
      </c>
      <c r="F492" s="24"/>
      <c r="G492" s="24"/>
      <c r="H492" s="24"/>
    </row>
    <row r="493" spans="1:8" s="173" customFormat="1" hidden="1" x14ac:dyDescent="0.25">
      <c r="A493" s="131">
        <v>1</v>
      </c>
      <c r="B493" s="131" t="s">
        <v>220</v>
      </c>
      <c r="C493" s="35" t="s">
        <v>31</v>
      </c>
      <c r="D493" s="24"/>
      <c r="E493" s="130">
        <v>12000</v>
      </c>
      <c r="F493" s="24"/>
      <c r="G493" s="24"/>
      <c r="H493" s="24"/>
    </row>
    <row r="494" spans="1:8" s="173" customFormat="1" hidden="1" x14ac:dyDescent="0.25">
      <c r="A494" s="131">
        <v>1</v>
      </c>
      <c r="B494" s="131" t="s">
        <v>220</v>
      </c>
      <c r="C494" s="35" t="s">
        <v>15</v>
      </c>
      <c r="D494" s="24"/>
      <c r="E494" s="130">
        <v>1100</v>
      </c>
      <c r="F494" s="24"/>
      <c r="G494" s="24"/>
      <c r="H494" s="24"/>
    </row>
    <row r="495" spans="1:8" s="173" customFormat="1" hidden="1" x14ac:dyDescent="0.25">
      <c r="A495" s="131">
        <v>1</v>
      </c>
      <c r="B495" s="131" t="s">
        <v>220</v>
      </c>
      <c r="C495" s="35" t="s">
        <v>27</v>
      </c>
      <c r="D495" s="24"/>
      <c r="E495" s="130">
        <v>8800</v>
      </c>
      <c r="F495" s="24"/>
      <c r="G495" s="24"/>
      <c r="H495" s="24"/>
    </row>
    <row r="496" spans="1:8" s="173" customFormat="1" hidden="1" x14ac:dyDescent="0.25">
      <c r="A496" s="131"/>
      <c r="B496" s="131"/>
      <c r="C496" s="35" t="s">
        <v>51</v>
      </c>
      <c r="D496" s="24"/>
      <c r="E496" s="130">
        <v>11500</v>
      </c>
      <c r="F496" s="24"/>
      <c r="G496" s="24"/>
      <c r="H496" s="24"/>
    </row>
    <row r="497" spans="1:8" s="173" customFormat="1" ht="18" hidden="1" customHeight="1" x14ac:dyDescent="0.25">
      <c r="A497" s="131">
        <v>1</v>
      </c>
      <c r="B497" s="131" t="s">
        <v>220</v>
      </c>
      <c r="C497" s="35" t="s">
        <v>138</v>
      </c>
      <c r="D497" s="24"/>
      <c r="E497" s="130">
        <v>1500</v>
      </c>
      <c r="F497" s="24"/>
      <c r="G497" s="24"/>
      <c r="H497" s="24"/>
    </row>
    <row r="498" spans="1:8" s="173" customFormat="1" ht="19.149999999999999" hidden="1" customHeight="1" x14ac:dyDescent="0.25">
      <c r="A498" s="131"/>
      <c r="B498" s="131"/>
      <c r="C498" s="35" t="s">
        <v>122</v>
      </c>
      <c r="D498" s="24"/>
      <c r="E498" s="130">
        <v>1100</v>
      </c>
      <c r="F498" s="24"/>
      <c r="G498" s="24"/>
      <c r="H498" s="24"/>
    </row>
    <row r="499" spans="1:8" s="173" customFormat="1" hidden="1" x14ac:dyDescent="0.25">
      <c r="A499" s="131"/>
      <c r="B499" s="131"/>
      <c r="C499" s="35" t="s">
        <v>100</v>
      </c>
      <c r="D499" s="24"/>
      <c r="E499" s="130">
        <v>700</v>
      </c>
      <c r="F499" s="24"/>
      <c r="G499" s="24"/>
      <c r="H499" s="24"/>
    </row>
    <row r="500" spans="1:8" s="173" customFormat="1" ht="34.5" hidden="1" customHeight="1" x14ac:dyDescent="0.25">
      <c r="A500" s="131"/>
      <c r="B500" s="131"/>
      <c r="C500" s="35" t="s">
        <v>119</v>
      </c>
      <c r="D500" s="24"/>
      <c r="E500" s="130">
        <v>9700</v>
      </c>
      <c r="F500" s="24"/>
      <c r="G500" s="24"/>
      <c r="H500" s="24"/>
    </row>
    <row r="501" spans="1:8" s="173" customFormat="1" ht="75" hidden="1" x14ac:dyDescent="0.25">
      <c r="A501" s="131"/>
      <c r="B501" s="131"/>
      <c r="C501" s="219" t="s">
        <v>280</v>
      </c>
      <c r="D501" s="24"/>
      <c r="E501" s="130"/>
      <c r="F501" s="24"/>
      <c r="G501" s="24"/>
      <c r="H501" s="24"/>
    </row>
    <row r="502" spans="1:8" s="173" customFormat="1" ht="75" hidden="1" x14ac:dyDescent="0.25">
      <c r="A502" s="131"/>
      <c r="B502" s="131"/>
      <c r="C502" s="203" t="s">
        <v>249</v>
      </c>
      <c r="D502" s="24"/>
      <c r="E502" s="130"/>
      <c r="F502" s="24"/>
      <c r="G502" s="24"/>
      <c r="H502" s="24"/>
    </row>
    <row r="503" spans="1:8" s="173" customFormat="1" ht="18" hidden="1" customHeight="1" x14ac:dyDescent="0.25">
      <c r="A503" s="131"/>
      <c r="B503" s="131" t="s">
        <v>220</v>
      </c>
      <c r="C503" s="21" t="s">
        <v>195</v>
      </c>
      <c r="D503" s="24"/>
      <c r="E503" s="242">
        <f>E442</f>
        <v>100072</v>
      </c>
      <c r="F503" s="24"/>
      <c r="G503" s="24"/>
      <c r="H503" s="24"/>
    </row>
    <row r="504" spans="1:8" s="173" customFormat="1" ht="18" hidden="1" customHeight="1" x14ac:dyDescent="0.25">
      <c r="A504" s="131"/>
      <c r="B504" s="131" t="s">
        <v>220</v>
      </c>
      <c r="C504" s="21" t="s">
        <v>197</v>
      </c>
      <c r="D504" s="24"/>
      <c r="E504" s="243">
        <f>E451</f>
        <v>43980.851063829788</v>
      </c>
      <c r="F504" s="24"/>
      <c r="G504" s="24"/>
      <c r="H504" s="24"/>
    </row>
    <row r="505" spans="1:8" s="173" customFormat="1" ht="29.25" hidden="1" x14ac:dyDescent="0.25">
      <c r="A505" s="131"/>
      <c r="B505" s="131" t="s">
        <v>220</v>
      </c>
      <c r="C505" s="21" t="s">
        <v>198</v>
      </c>
      <c r="D505" s="24"/>
      <c r="E505" s="243">
        <f>E455</f>
        <v>0</v>
      </c>
      <c r="F505" s="24"/>
      <c r="G505" s="24"/>
      <c r="H505" s="24"/>
    </row>
    <row r="506" spans="1:8" s="173" customFormat="1" ht="18" hidden="1" customHeight="1" x14ac:dyDescent="0.25">
      <c r="A506" s="131"/>
      <c r="B506" s="131" t="s">
        <v>220</v>
      </c>
      <c r="C506" s="22" t="s">
        <v>112</v>
      </c>
      <c r="D506" s="24"/>
      <c r="E506" s="242">
        <f>E503+E454/4.2+E452*2.6</f>
        <v>212547.23809523811</v>
      </c>
      <c r="F506" s="24"/>
      <c r="G506" s="24"/>
      <c r="H506" s="24"/>
    </row>
    <row r="507" spans="1:8" s="173" customFormat="1" hidden="1" x14ac:dyDescent="0.25">
      <c r="A507" s="131">
        <v>1</v>
      </c>
      <c r="B507" s="131" t="s">
        <v>220</v>
      </c>
      <c r="C507" s="30" t="s">
        <v>7</v>
      </c>
      <c r="D507" s="24"/>
      <c r="E507" s="244"/>
      <c r="F507" s="24"/>
      <c r="G507" s="24"/>
      <c r="H507" s="24"/>
    </row>
    <row r="508" spans="1:8" s="173" customFormat="1" hidden="1" x14ac:dyDescent="0.25">
      <c r="A508" s="131">
        <v>1</v>
      </c>
      <c r="B508" s="131" t="s">
        <v>220</v>
      </c>
      <c r="C508" s="40" t="s">
        <v>18</v>
      </c>
      <c r="D508" s="24"/>
      <c r="E508" s="244"/>
      <c r="F508" s="24"/>
      <c r="G508" s="24"/>
      <c r="H508" s="24"/>
    </row>
    <row r="509" spans="1:8" s="173" customFormat="1" hidden="1" x14ac:dyDescent="0.25">
      <c r="A509" s="131">
        <v>1</v>
      </c>
      <c r="B509" s="131" t="s">
        <v>220</v>
      </c>
      <c r="C509" s="25" t="s">
        <v>35</v>
      </c>
      <c r="D509" s="24">
        <v>247</v>
      </c>
      <c r="E509" s="245">
        <v>950</v>
      </c>
      <c r="F509" s="228">
        <v>8</v>
      </c>
      <c r="G509" s="2">
        <f>ROUND(H509/D509,0)</f>
        <v>31</v>
      </c>
      <c r="H509" s="10">
        <f>ROUND(E509*F509,0)</f>
        <v>7600</v>
      </c>
    </row>
    <row r="510" spans="1:8" s="173" customFormat="1" hidden="1" x14ac:dyDescent="0.25">
      <c r="A510" s="131">
        <v>1</v>
      </c>
      <c r="B510" s="131" t="s">
        <v>220</v>
      </c>
      <c r="C510" s="25" t="s">
        <v>10</v>
      </c>
      <c r="D510" s="24">
        <v>247</v>
      </c>
      <c r="E510" s="245">
        <v>1710</v>
      </c>
      <c r="F510" s="230">
        <v>5</v>
      </c>
      <c r="G510" s="2">
        <f>ROUND(H510/D510,0)</f>
        <v>35</v>
      </c>
      <c r="H510" s="10">
        <f>ROUND(E510*F510,0)</f>
        <v>8550</v>
      </c>
    </row>
    <row r="511" spans="1:8" s="173" customFormat="1" ht="15.75" hidden="1" x14ac:dyDescent="0.25">
      <c r="A511" s="131">
        <v>1</v>
      </c>
      <c r="B511" s="131" t="s">
        <v>220</v>
      </c>
      <c r="C511" s="154" t="s">
        <v>94</v>
      </c>
      <c r="D511" s="24"/>
      <c r="E511" s="246">
        <f>SUM(E509:E510)</f>
        <v>2660</v>
      </c>
      <c r="F511" s="151">
        <f>H511/E511</f>
        <v>6.0714285714285712</v>
      </c>
      <c r="G511" s="232">
        <f>G509+G510</f>
        <v>66</v>
      </c>
      <c r="H511" s="232">
        <f>H509+H510</f>
        <v>16150</v>
      </c>
    </row>
    <row r="512" spans="1:8" s="173" customFormat="1" ht="15.75" hidden="1" customHeight="1" thickBot="1" x14ac:dyDescent="0.3">
      <c r="A512" s="131">
        <v>1</v>
      </c>
      <c r="B512" s="131" t="s">
        <v>220</v>
      </c>
      <c r="C512" s="26" t="s">
        <v>88</v>
      </c>
      <c r="D512" s="153"/>
      <c r="E512" s="242">
        <f>E511</f>
        <v>2660</v>
      </c>
      <c r="F512" s="151">
        <f>H512/E512</f>
        <v>6.0714285714285712</v>
      </c>
      <c r="G512" s="38">
        <f t="shared" ref="G512:H512" si="16">G511</f>
        <v>66</v>
      </c>
      <c r="H512" s="38">
        <f t="shared" si="16"/>
        <v>16150</v>
      </c>
    </row>
    <row r="513" spans="1:8" s="173" customFormat="1" ht="15.75" hidden="1" thickBot="1" x14ac:dyDescent="0.3">
      <c r="A513" s="131">
        <v>1</v>
      </c>
      <c r="B513" s="131" t="s">
        <v>220</v>
      </c>
      <c r="C513" s="247" t="s">
        <v>213</v>
      </c>
      <c r="D513" s="248"/>
      <c r="E513" s="249"/>
      <c r="F513" s="248"/>
      <c r="G513" s="248"/>
      <c r="H513" s="248"/>
    </row>
    <row r="514" spans="1:8" s="173" customFormat="1" ht="48" hidden="1" customHeight="1" x14ac:dyDescent="0.25">
      <c r="A514" s="131">
        <v>1</v>
      </c>
      <c r="B514" s="136" t="s">
        <v>221</v>
      </c>
      <c r="C514" s="686" t="s">
        <v>310</v>
      </c>
      <c r="D514" s="250"/>
      <c r="E514" s="251"/>
      <c r="F514" s="252"/>
      <c r="G514" s="252"/>
      <c r="H514" s="252"/>
    </row>
    <row r="515" spans="1:8" s="173" customFormat="1" hidden="1" x14ac:dyDescent="0.25">
      <c r="A515" s="131">
        <v>1</v>
      </c>
      <c r="B515" s="136" t="s">
        <v>221</v>
      </c>
      <c r="C515" s="253" t="s">
        <v>111</v>
      </c>
      <c r="D515" s="41"/>
      <c r="E515" s="254"/>
      <c r="F515" s="227"/>
      <c r="G515" s="227"/>
      <c r="H515" s="227"/>
    </row>
    <row r="516" spans="1:8" s="173" customFormat="1" ht="21.75" hidden="1" customHeight="1" x14ac:dyDescent="0.25">
      <c r="A516" s="131"/>
      <c r="B516" s="136" t="s">
        <v>221</v>
      </c>
      <c r="C516" s="12" t="s">
        <v>98</v>
      </c>
      <c r="D516" s="41"/>
      <c r="E516" s="254"/>
      <c r="F516" s="227"/>
      <c r="G516" s="227"/>
      <c r="H516" s="227"/>
    </row>
    <row r="517" spans="1:8" s="173" customFormat="1" hidden="1" x14ac:dyDescent="0.25">
      <c r="A517" s="131"/>
      <c r="B517" s="136" t="s">
        <v>221</v>
      </c>
      <c r="C517" s="14" t="s">
        <v>251</v>
      </c>
      <c r="D517" s="41"/>
      <c r="E517" s="255">
        <f>E518+E519+E523+E524</f>
        <v>79580</v>
      </c>
      <c r="F517" s="227"/>
      <c r="G517" s="227"/>
      <c r="H517" s="227"/>
    </row>
    <row r="518" spans="1:8" s="173" customFormat="1" hidden="1" x14ac:dyDescent="0.25">
      <c r="A518" s="131"/>
      <c r="B518" s="136" t="s">
        <v>221</v>
      </c>
      <c r="C518" s="15" t="s">
        <v>252</v>
      </c>
      <c r="D518" s="41"/>
      <c r="E518" s="254"/>
      <c r="F518" s="227"/>
      <c r="G518" s="227"/>
      <c r="H518" s="227"/>
    </row>
    <row r="519" spans="1:8" s="173" customFormat="1" ht="30" hidden="1" x14ac:dyDescent="0.25">
      <c r="A519" s="131"/>
      <c r="B519" s="136" t="s">
        <v>221</v>
      </c>
      <c r="C519" s="16" t="s">
        <v>388</v>
      </c>
      <c r="D519" s="41"/>
      <c r="E519" s="254">
        <f>E520+E522+E521/4</f>
        <v>79400</v>
      </c>
      <c r="F519" s="227"/>
      <c r="G519" s="227"/>
      <c r="H519" s="227"/>
    </row>
    <row r="520" spans="1:8" s="145" customFormat="1" hidden="1" x14ac:dyDescent="0.25">
      <c r="A520" s="131"/>
      <c r="B520" s="136" t="s">
        <v>221</v>
      </c>
      <c r="C520" s="15" t="s">
        <v>389</v>
      </c>
      <c r="D520" s="13"/>
      <c r="E520" s="254">
        <v>78000</v>
      </c>
      <c r="F520" s="10"/>
      <c r="G520" s="10"/>
      <c r="H520" s="10"/>
    </row>
    <row r="521" spans="1:8" s="173" customFormat="1" ht="30" hidden="1" x14ac:dyDescent="0.25">
      <c r="A521" s="131"/>
      <c r="B521" s="136" t="s">
        <v>221</v>
      </c>
      <c r="C521" s="15" t="s">
        <v>390</v>
      </c>
      <c r="D521" s="41"/>
      <c r="E521" s="254">
        <v>5600</v>
      </c>
      <c r="F521" s="227"/>
      <c r="G521" s="227"/>
      <c r="H521" s="227"/>
    </row>
    <row r="522" spans="1:8" s="173" customFormat="1" ht="45" hidden="1" x14ac:dyDescent="0.25">
      <c r="A522" s="131"/>
      <c r="B522" s="136" t="s">
        <v>221</v>
      </c>
      <c r="C522" s="15" t="s">
        <v>391</v>
      </c>
      <c r="D522" s="41"/>
      <c r="E522" s="254"/>
      <c r="F522" s="227"/>
      <c r="G522" s="227"/>
      <c r="H522" s="227"/>
    </row>
    <row r="523" spans="1:8" s="173" customFormat="1" ht="60" hidden="1" x14ac:dyDescent="0.25">
      <c r="A523" s="131"/>
      <c r="B523" s="136" t="s">
        <v>221</v>
      </c>
      <c r="C523" s="15" t="s">
        <v>392</v>
      </c>
      <c r="D523" s="41"/>
      <c r="E523" s="254"/>
      <c r="F523" s="227"/>
      <c r="G523" s="227"/>
      <c r="H523" s="227"/>
    </row>
    <row r="524" spans="1:8" s="173" customFormat="1" ht="45" hidden="1" x14ac:dyDescent="0.25">
      <c r="A524" s="131">
        <v>1</v>
      </c>
      <c r="B524" s="136" t="s">
        <v>221</v>
      </c>
      <c r="C524" s="18" t="s">
        <v>393</v>
      </c>
      <c r="D524" s="13"/>
      <c r="E524" s="254">
        <v>180</v>
      </c>
      <c r="F524" s="227"/>
      <c r="G524" s="227"/>
      <c r="H524" s="227"/>
    </row>
    <row r="525" spans="1:8" s="173" customFormat="1" hidden="1" x14ac:dyDescent="0.25">
      <c r="A525" s="131">
        <v>1</v>
      </c>
      <c r="B525" s="136" t="s">
        <v>221</v>
      </c>
      <c r="C525" s="14" t="s">
        <v>253</v>
      </c>
      <c r="D525" s="13"/>
      <c r="E525" s="255">
        <f>E526+E527+E529</f>
        <v>9631.9148936170204</v>
      </c>
      <c r="F525" s="227"/>
      <c r="G525" s="227"/>
      <c r="H525" s="227"/>
    </row>
    <row r="526" spans="1:8" s="173" customFormat="1" hidden="1" x14ac:dyDescent="0.25">
      <c r="A526" s="131"/>
      <c r="B526" s="136" t="s">
        <v>221</v>
      </c>
      <c r="C526" s="14" t="s">
        <v>254</v>
      </c>
      <c r="D526" s="13"/>
      <c r="E526" s="254">
        <v>8500</v>
      </c>
      <c r="F526" s="227"/>
      <c r="G526" s="227"/>
      <c r="H526" s="227"/>
    </row>
    <row r="527" spans="1:8" s="173" customFormat="1" hidden="1" x14ac:dyDescent="0.25">
      <c r="A527" s="131"/>
      <c r="B527" s="136" t="s">
        <v>221</v>
      </c>
      <c r="C527" s="15" t="s">
        <v>255</v>
      </c>
      <c r="D527" s="13"/>
      <c r="E527" s="254">
        <f>E528/9.4</f>
        <v>531.91489361702122</v>
      </c>
      <c r="F527" s="227"/>
      <c r="G527" s="227"/>
      <c r="H527" s="227"/>
    </row>
    <row r="528" spans="1:8" s="173" customFormat="1" hidden="1" x14ac:dyDescent="0.25">
      <c r="A528" s="131"/>
      <c r="B528" s="136" t="s">
        <v>221</v>
      </c>
      <c r="C528" s="42" t="s">
        <v>261</v>
      </c>
      <c r="D528" s="13"/>
      <c r="E528" s="254">
        <v>5000</v>
      </c>
      <c r="F528" s="227"/>
      <c r="G528" s="227"/>
      <c r="H528" s="227"/>
    </row>
    <row r="529" spans="1:8" s="173" customFormat="1" hidden="1" x14ac:dyDescent="0.25">
      <c r="A529" s="131"/>
      <c r="B529" s="136"/>
      <c r="C529" s="441" t="s">
        <v>417</v>
      </c>
      <c r="D529" s="13"/>
      <c r="E529" s="255">
        <f>SUM(E530:E533)</f>
        <v>600</v>
      </c>
      <c r="F529" s="463"/>
      <c r="G529" s="463"/>
      <c r="H529" s="463"/>
    </row>
    <row r="530" spans="1:8" s="173" customFormat="1" hidden="1" x14ac:dyDescent="0.25">
      <c r="A530" s="131"/>
      <c r="B530" s="136"/>
      <c r="C530" s="42" t="s">
        <v>302</v>
      </c>
      <c r="D530" s="13"/>
      <c r="E530" s="254">
        <v>5</v>
      </c>
      <c r="F530" s="227"/>
      <c r="G530" s="227"/>
      <c r="H530" s="227"/>
    </row>
    <row r="531" spans="1:8" s="173" customFormat="1" hidden="1" x14ac:dyDescent="0.25">
      <c r="A531" s="131"/>
      <c r="B531" s="136"/>
      <c r="C531" s="42" t="s">
        <v>303</v>
      </c>
      <c r="D531" s="13"/>
      <c r="E531" s="254">
        <v>5</v>
      </c>
      <c r="F531" s="227"/>
      <c r="G531" s="227"/>
      <c r="H531" s="227"/>
    </row>
    <row r="532" spans="1:8" s="173" customFormat="1" ht="45" hidden="1" x14ac:dyDescent="0.25">
      <c r="A532" s="131"/>
      <c r="B532" s="136"/>
      <c r="C532" s="42" t="s">
        <v>338</v>
      </c>
      <c r="D532" s="13"/>
      <c r="E532" s="254">
        <v>300</v>
      </c>
      <c r="F532" s="227"/>
      <c r="G532" s="227"/>
      <c r="H532" s="227"/>
    </row>
    <row r="533" spans="1:8" s="173" customFormat="1" ht="30" hidden="1" x14ac:dyDescent="0.25">
      <c r="A533" s="131"/>
      <c r="B533" s="136"/>
      <c r="C533" s="42" t="s">
        <v>304</v>
      </c>
      <c r="D533" s="13"/>
      <c r="E533" s="254">
        <v>290</v>
      </c>
      <c r="F533" s="227"/>
      <c r="G533" s="227"/>
      <c r="H533" s="227"/>
    </row>
    <row r="534" spans="1:8" s="173" customFormat="1" ht="29.25" hidden="1" x14ac:dyDescent="0.25">
      <c r="A534" s="131">
        <v>1</v>
      </c>
      <c r="B534" s="136" t="s">
        <v>221</v>
      </c>
      <c r="C534" s="14" t="s">
        <v>256</v>
      </c>
      <c r="D534" s="13"/>
      <c r="E534" s="244"/>
      <c r="F534" s="227"/>
      <c r="G534" s="227"/>
      <c r="H534" s="227"/>
    </row>
    <row r="535" spans="1:8" s="173" customFormat="1" ht="30" hidden="1" x14ac:dyDescent="0.25">
      <c r="A535" s="131">
        <v>1</v>
      </c>
      <c r="B535" s="136" t="s">
        <v>221</v>
      </c>
      <c r="C535" s="19" t="s">
        <v>117</v>
      </c>
      <c r="D535" s="13"/>
      <c r="E535" s="244"/>
      <c r="F535" s="227"/>
      <c r="G535" s="227"/>
      <c r="H535" s="227"/>
    </row>
    <row r="536" spans="1:8" s="173" customFormat="1" ht="57.75" hidden="1" x14ac:dyDescent="0.25">
      <c r="A536" s="131">
        <v>1</v>
      </c>
      <c r="B536" s="136" t="s">
        <v>221</v>
      </c>
      <c r="C536" s="14" t="s">
        <v>259</v>
      </c>
      <c r="D536" s="13"/>
      <c r="E536" s="254"/>
      <c r="F536" s="227"/>
      <c r="G536" s="227"/>
      <c r="H536" s="227"/>
    </row>
    <row r="537" spans="1:8" s="173" customFormat="1" hidden="1" x14ac:dyDescent="0.25">
      <c r="A537" s="131"/>
      <c r="B537" s="136" t="s">
        <v>221</v>
      </c>
      <c r="C537" s="21" t="s">
        <v>195</v>
      </c>
      <c r="D537" s="13"/>
      <c r="E537" s="255">
        <f>E517</f>
        <v>79580</v>
      </c>
      <c r="F537" s="227"/>
      <c r="G537" s="227"/>
      <c r="H537" s="227"/>
    </row>
    <row r="538" spans="1:8" s="173" customFormat="1" hidden="1" x14ac:dyDescent="0.25">
      <c r="A538" s="131"/>
      <c r="B538" s="136" t="s">
        <v>221</v>
      </c>
      <c r="C538" s="21" t="s">
        <v>197</v>
      </c>
      <c r="D538" s="13"/>
      <c r="E538" s="255">
        <f>E525</f>
        <v>9631.9148936170204</v>
      </c>
      <c r="F538" s="227"/>
      <c r="G538" s="227"/>
      <c r="H538" s="227"/>
    </row>
    <row r="539" spans="1:8" s="173" customFormat="1" ht="29.25" hidden="1" x14ac:dyDescent="0.25">
      <c r="A539" s="131"/>
      <c r="B539" s="136" t="s">
        <v>221</v>
      </c>
      <c r="C539" s="21" t="s">
        <v>198</v>
      </c>
      <c r="D539" s="13"/>
      <c r="E539" s="255">
        <f>E534</f>
        <v>0</v>
      </c>
      <c r="F539" s="227"/>
      <c r="G539" s="227"/>
      <c r="H539" s="227"/>
    </row>
    <row r="540" spans="1:8" s="173" customFormat="1" hidden="1" x14ac:dyDescent="0.25">
      <c r="A540" s="131"/>
      <c r="B540" s="136" t="s">
        <v>221</v>
      </c>
      <c r="C540" s="22" t="s">
        <v>112</v>
      </c>
      <c r="D540" s="13"/>
      <c r="E540" s="255">
        <f>E526*2.6+E517+E528/4.2+E529*10</f>
        <v>108870.47619047618</v>
      </c>
      <c r="F540" s="227"/>
      <c r="G540" s="227"/>
      <c r="H540" s="227"/>
    </row>
    <row r="541" spans="1:8" s="173" customFormat="1" hidden="1" x14ac:dyDescent="0.25">
      <c r="A541" s="131">
        <v>1</v>
      </c>
      <c r="B541" s="136" t="s">
        <v>221</v>
      </c>
      <c r="C541" s="30" t="s">
        <v>7</v>
      </c>
      <c r="D541" s="24"/>
      <c r="E541" s="244"/>
      <c r="F541" s="24"/>
      <c r="G541" s="24"/>
      <c r="H541" s="24"/>
    </row>
    <row r="542" spans="1:8" s="173" customFormat="1" hidden="1" x14ac:dyDescent="0.25">
      <c r="A542" s="131">
        <v>1</v>
      </c>
      <c r="B542" s="136" t="s">
        <v>221</v>
      </c>
      <c r="C542" s="40" t="s">
        <v>18</v>
      </c>
      <c r="D542" s="24"/>
      <c r="E542" s="244"/>
      <c r="F542" s="24"/>
      <c r="G542" s="24"/>
      <c r="H542" s="24"/>
    </row>
    <row r="543" spans="1:8" s="173" customFormat="1" hidden="1" x14ac:dyDescent="0.25">
      <c r="A543" s="131">
        <v>1</v>
      </c>
      <c r="B543" s="136" t="s">
        <v>221</v>
      </c>
      <c r="C543" s="25" t="s">
        <v>92</v>
      </c>
      <c r="D543" s="24">
        <v>240</v>
      </c>
      <c r="E543" s="244">
        <v>2657</v>
      </c>
      <c r="F543" s="228">
        <v>10</v>
      </c>
      <c r="G543" s="2">
        <f>ROUND(H543/D543,0)</f>
        <v>111</v>
      </c>
      <c r="H543" s="10">
        <f>ROUND(E543*F543,0)</f>
        <v>26570</v>
      </c>
    </row>
    <row r="544" spans="1:8" s="173" customFormat="1" hidden="1" x14ac:dyDescent="0.25">
      <c r="A544" s="131">
        <v>1</v>
      </c>
      <c r="B544" s="136" t="s">
        <v>221</v>
      </c>
      <c r="C544" s="154" t="s">
        <v>94</v>
      </c>
      <c r="D544" s="24"/>
      <c r="E544" s="246">
        <v>2657</v>
      </c>
      <c r="F544" s="256">
        <f>H544/E544</f>
        <v>10</v>
      </c>
      <c r="G544" s="232">
        <f t="shared" ref="G544:H545" si="17">G543</f>
        <v>111</v>
      </c>
      <c r="H544" s="232">
        <f t="shared" si="17"/>
        <v>26570</v>
      </c>
    </row>
    <row r="545" spans="1:8" s="173" customFormat="1" ht="16.5" hidden="1" customHeight="1" thickBot="1" x14ac:dyDescent="0.3">
      <c r="A545" s="131">
        <v>1</v>
      </c>
      <c r="B545" s="136" t="s">
        <v>221</v>
      </c>
      <c r="C545" s="26" t="s">
        <v>88</v>
      </c>
      <c r="D545" s="153"/>
      <c r="E545" s="257">
        <f>E544</f>
        <v>2657</v>
      </c>
      <c r="F545" s="234">
        <f>H545/E545</f>
        <v>10</v>
      </c>
      <c r="G545" s="235">
        <f t="shared" si="17"/>
        <v>111</v>
      </c>
      <c r="H545" s="235">
        <f t="shared" si="17"/>
        <v>26570</v>
      </c>
    </row>
    <row r="546" spans="1:8" s="173" customFormat="1" ht="15.75" hidden="1" customHeight="1" thickBot="1" x14ac:dyDescent="0.3">
      <c r="A546" s="131">
        <v>1</v>
      </c>
      <c r="B546" s="136" t="s">
        <v>221</v>
      </c>
      <c r="C546" s="168" t="s">
        <v>213</v>
      </c>
      <c r="D546" s="169"/>
      <c r="E546" s="258"/>
      <c r="F546" s="171"/>
      <c r="G546" s="172"/>
      <c r="H546" s="171"/>
    </row>
    <row r="547" spans="1:8" s="173" customFormat="1" ht="15.75" hidden="1" customHeight="1" thickBot="1" x14ac:dyDescent="0.3">
      <c r="A547" s="131">
        <v>1</v>
      </c>
      <c r="B547" s="131"/>
      <c r="C547" s="259"/>
      <c r="D547" s="260"/>
      <c r="E547" s="261"/>
      <c r="F547" s="262"/>
      <c r="G547" s="262"/>
      <c r="H547" s="262"/>
    </row>
    <row r="548" spans="1:8" s="173" customFormat="1" ht="29.25" hidden="1" x14ac:dyDescent="0.25">
      <c r="A548" s="131">
        <v>1</v>
      </c>
      <c r="B548" s="136" t="s">
        <v>222</v>
      </c>
      <c r="C548" s="686" t="s">
        <v>311</v>
      </c>
      <c r="D548" s="250"/>
      <c r="E548" s="251"/>
      <c r="F548" s="252"/>
      <c r="G548" s="252"/>
      <c r="H548" s="252"/>
    </row>
    <row r="549" spans="1:8" s="173" customFormat="1" hidden="1" x14ac:dyDescent="0.25">
      <c r="A549" s="131">
        <v>1</v>
      </c>
      <c r="B549" s="136" t="s">
        <v>222</v>
      </c>
      <c r="C549" s="253" t="s">
        <v>111</v>
      </c>
      <c r="D549" s="41"/>
      <c r="E549" s="254"/>
      <c r="F549" s="227"/>
      <c r="G549" s="227"/>
      <c r="H549" s="227"/>
    </row>
    <row r="550" spans="1:8" s="173" customFormat="1" hidden="1" x14ac:dyDescent="0.25">
      <c r="A550" s="131">
        <v>1</v>
      </c>
      <c r="B550" s="136" t="s">
        <v>222</v>
      </c>
      <c r="C550" s="12" t="s">
        <v>98</v>
      </c>
      <c r="D550" s="13"/>
      <c r="E550" s="254"/>
      <c r="F550" s="227"/>
      <c r="G550" s="227"/>
      <c r="H550" s="227"/>
    </row>
    <row r="551" spans="1:8" s="173" customFormat="1" hidden="1" x14ac:dyDescent="0.25">
      <c r="A551" s="131"/>
      <c r="B551" s="136" t="s">
        <v>222</v>
      </c>
      <c r="C551" s="14" t="s">
        <v>251</v>
      </c>
      <c r="D551" s="13"/>
      <c r="E551" s="255">
        <f>E552</f>
        <v>11500</v>
      </c>
      <c r="F551" s="227"/>
      <c r="G551" s="227"/>
      <c r="H551" s="227"/>
    </row>
    <row r="552" spans="1:8" s="173" customFormat="1" ht="30" hidden="1" x14ac:dyDescent="0.25">
      <c r="A552" s="131"/>
      <c r="B552" s="136" t="s">
        <v>222</v>
      </c>
      <c r="C552" s="264" t="s">
        <v>388</v>
      </c>
      <c r="D552" s="13"/>
      <c r="E552" s="254">
        <f>E553/4</f>
        <v>11500</v>
      </c>
      <c r="F552" s="227"/>
      <c r="G552" s="227"/>
      <c r="H552" s="227"/>
    </row>
    <row r="553" spans="1:8" s="173" customFormat="1" ht="30" hidden="1" x14ac:dyDescent="0.25">
      <c r="A553" s="131"/>
      <c r="B553" s="136" t="s">
        <v>222</v>
      </c>
      <c r="C553" s="15" t="s">
        <v>390</v>
      </c>
      <c r="D553" s="13"/>
      <c r="E553" s="254">
        <v>46000</v>
      </c>
      <c r="F553" s="227"/>
      <c r="G553" s="227"/>
      <c r="H553" s="227"/>
    </row>
    <row r="554" spans="1:8" s="173" customFormat="1" hidden="1" x14ac:dyDescent="0.25">
      <c r="A554" s="131">
        <v>1</v>
      </c>
      <c r="B554" s="136" t="s">
        <v>222</v>
      </c>
      <c r="C554" s="14" t="s">
        <v>253</v>
      </c>
      <c r="D554" s="13"/>
      <c r="E554" s="254">
        <f>(E556+E557)/9.4</f>
        <v>27633.404255319147</v>
      </c>
      <c r="F554" s="227"/>
      <c r="G554" s="227"/>
      <c r="H554" s="227"/>
    </row>
    <row r="555" spans="1:8" s="173" customFormat="1" hidden="1" x14ac:dyDescent="0.25">
      <c r="A555" s="131"/>
      <c r="B555" s="136"/>
      <c r="C555" s="14" t="s">
        <v>255</v>
      </c>
      <c r="D555" s="13"/>
      <c r="E555" s="254">
        <f>E556/9.4+E557/9.4</f>
        <v>27633.40425531915</v>
      </c>
      <c r="F555" s="227"/>
      <c r="G555" s="227"/>
      <c r="H555" s="227"/>
    </row>
    <row r="556" spans="1:8" s="173" customFormat="1" hidden="1" x14ac:dyDescent="0.25">
      <c r="A556" s="131">
        <v>1</v>
      </c>
      <c r="B556" s="136" t="s">
        <v>222</v>
      </c>
      <c r="C556" s="42" t="s">
        <v>261</v>
      </c>
      <c r="D556" s="13"/>
      <c r="E556" s="254">
        <v>259654</v>
      </c>
      <c r="F556" s="227"/>
      <c r="G556" s="227"/>
      <c r="H556" s="227"/>
    </row>
    <row r="557" spans="1:8" s="173" customFormat="1" hidden="1" x14ac:dyDescent="0.25">
      <c r="A557" s="131">
        <v>1</v>
      </c>
      <c r="B557" s="136" t="s">
        <v>222</v>
      </c>
      <c r="C557" s="42" t="s">
        <v>263</v>
      </c>
      <c r="D557" s="13"/>
      <c r="E557" s="254">
        <v>100</v>
      </c>
      <c r="F557" s="227"/>
      <c r="G557" s="227"/>
      <c r="H557" s="227"/>
    </row>
    <row r="558" spans="1:8" s="173" customFormat="1" hidden="1" x14ac:dyDescent="0.25">
      <c r="A558" s="131"/>
      <c r="B558" s="136" t="s">
        <v>222</v>
      </c>
      <c r="C558" s="21" t="s">
        <v>195</v>
      </c>
      <c r="D558" s="265"/>
      <c r="E558" s="461">
        <f>E551</f>
        <v>11500</v>
      </c>
      <c r="F558" s="266"/>
      <c r="G558" s="39"/>
      <c r="H558" s="39"/>
    </row>
    <row r="559" spans="1:8" s="173" customFormat="1" hidden="1" x14ac:dyDescent="0.25">
      <c r="A559" s="131"/>
      <c r="B559" s="136" t="s">
        <v>222</v>
      </c>
      <c r="C559" s="21" t="s">
        <v>197</v>
      </c>
      <c r="D559" s="265"/>
      <c r="E559" s="272">
        <f>E554</f>
        <v>27633.404255319147</v>
      </c>
      <c r="F559" s="39"/>
      <c r="G559" s="266"/>
      <c r="H559" s="39"/>
    </row>
    <row r="560" spans="1:8" s="173" customFormat="1" ht="18" hidden="1" customHeight="1" thickBot="1" x14ac:dyDescent="0.3">
      <c r="A560" s="131">
        <v>1</v>
      </c>
      <c r="B560" s="136" t="s">
        <v>222</v>
      </c>
      <c r="C560" s="22" t="s">
        <v>112</v>
      </c>
      <c r="D560" s="265"/>
      <c r="E560" s="267">
        <f>(E556+E557)/4.2+E551</f>
        <v>73346.190476190473</v>
      </c>
      <c r="F560" s="268"/>
      <c r="G560" s="268"/>
      <c r="H560" s="266"/>
    </row>
    <row r="561" spans="1:8" s="173" customFormat="1" ht="15.75" hidden="1" thickBot="1" x14ac:dyDescent="0.3">
      <c r="A561" s="131">
        <v>1</v>
      </c>
      <c r="B561" s="136" t="s">
        <v>222</v>
      </c>
      <c r="C561" s="168" t="s">
        <v>213</v>
      </c>
      <c r="D561" s="169"/>
      <c r="E561" s="269">
        <f>E558+(E556+E557)/4.2</f>
        <v>73346.190476190473</v>
      </c>
      <c r="F561" s="171"/>
      <c r="G561" s="171"/>
      <c r="H561" s="206"/>
    </row>
    <row r="562" spans="1:8" s="173" customFormat="1" ht="43.5" hidden="1" x14ac:dyDescent="0.25">
      <c r="A562" s="131">
        <v>1</v>
      </c>
      <c r="B562" s="270" t="s">
        <v>223</v>
      </c>
      <c r="C562" s="686" t="s">
        <v>412</v>
      </c>
      <c r="D562" s="186"/>
      <c r="E562" s="271"/>
      <c r="F562" s="227"/>
      <c r="G562" s="227"/>
      <c r="H562" s="227"/>
    </row>
    <row r="563" spans="1:8" s="173" customFormat="1" hidden="1" x14ac:dyDescent="0.25">
      <c r="A563" s="131">
        <v>1</v>
      </c>
      <c r="B563" s="270" t="s">
        <v>223</v>
      </c>
      <c r="C563" s="253" t="s">
        <v>6</v>
      </c>
      <c r="D563" s="41"/>
      <c r="E563" s="254"/>
      <c r="F563" s="39"/>
      <c r="G563" s="39"/>
      <c r="H563" s="39"/>
    </row>
    <row r="564" spans="1:8" s="173" customFormat="1" ht="18" hidden="1" customHeight="1" x14ac:dyDescent="0.25">
      <c r="A564" s="131">
        <v>1</v>
      </c>
      <c r="B564" s="270" t="s">
        <v>223</v>
      </c>
      <c r="C564" s="12" t="s">
        <v>98</v>
      </c>
      <c r="D564" s="13"/>
      <c r="E564" s="254"/>
      <c r="F564" s="227"/>
      <c r="G564" s="227"/>
      <c r="H564" s="227"/>
    </row>
    <row r="565" spans="1:8" s="173" customFormat="1" hidden="1" x14ac:dyDescent="0.25">
      <c r="A565" s="131"/>
      <c r="B565" s="270" t="s">
        <v>223</v>
      </c>
      <c r="C565" s="14" t="s">
        <v>251</v>
      </c>
      <c r="D565" s="13"/>
      <c r="E565" s="254">
        <f>E566</f>
        <v>3250</v>
      </c>
      <c r="F565" s="227"/>
      <c r="G565" s="227"/>
      <c r="H565" s="227"/>
    </row>
    <row r="566" spans="1:8" s="173" customFormat="1" ht="28.5" hidden="1" customHeight="1" x14ac:dyDescent="0.25">
      <c r="A566" s="131"/>
      <c r="B566" s="270" t="s">
        <v>223</v>
      </c>
      <c r="C566" s="264" t="s">
        <v>388</v>
      </c>
      <c r="D566" s="13"/>
      <c r="E566" s="254">
        <f>E567/4</f>
        <v>3250</v>
      </c>
      <c r="F566" s="227"/>
      <c r="G566" s="227"/>
      <c r="H566" s="227"/>
    </row>
    <row r="567" spans="1:8" s="173" customFormat="1" ht="30" hidden="1" x14ac:dyDescent="0.25">
      <c r="A567" s="131"/>
      <c r="B567" s="270" t="s">
        <v>223</v>
      </c>
      <c r="C567" s="15" t="s">
        <v>390</v>
      </c>
      <c r="D567" s="13"/>
      <c r="E567" s="254">
        <v>13000</v>
      </c>
      <c r="F567" s="227"/>
      <c r="G567" s="227"/>
      <c r="H567" s="227"/>
    </row>
    <row r="568" spans="1:8" s="173" customFormat="1" hidden="1" x14ac:dyDescent="0.25">
      <c r="A568" s="131"/>
      <c r="B568" s="270" t="s">
        <v>223</v>
      </c>
      <c r="C568" s="14" t="s">
        <v>253</v>
      </c>
      <c r="D568" s="13"/>
      <c r="E568" s="254">
        <f>E570/9.4</f>
        <v>35744.680851063829</v>
      </c>
      <c r="F568" s="227"/>
      <c r="G568" s="227"/>
      <c r="H568" s="227"/>
    </row>
    <row r="569" spans="1:8" s="173" customFormat="1" hidden="1" x14ac:dyDescent="0.25">
      <c r="A569" s="131"/>
      <c r="B569" s="270"/>
      <c r="C569" s="14" t="s">
        <v>255</v>
      </c>
      <c r="D569" s="13"/>
      <c r="E569" s="254">
        <f>E570/9.4</f>
        <v>35744.680851063829</v>
      </c>
      <c r="F569" s="227"/>
      <c r="G569" s="227"/>
      <c r="H569" s="227"/>
    </row>
    <row r="570" spans="1:8" s="173" customFormat="1" hidden="1" x14ac:dyDescent="0.25">
      <c r="A570" s="131">
        <v>1</v>
      </c>
      <c r="B570" s="270" t="s">
        <v>223</v>
      </c>
      <c r="C570" s="42" t="s">
        <v>261</v>
      </c>
      <c r="D570" s="13"/>
      <c r="E570" s="254">
        <v>336000</v>
      </c>
      <c r="F570" s="227"/>
      <c r="G570" s="227"/>
      <c r="H570" s="227"/>
    </row>
    <row r="571" spans="1:8" s="173" customFormat="1" hidden="1" x14ac:dyDescent="0.25">
      <c r="A571" s="131">
        <v>1</v>
      </c>
      <c r="B571" s="270" t="s">
        <v>223</v>
      </c>
      <c r="C571" s="42" t="s">
        <v>263</v>
      </c>
      <c r="D571" s="13"/>
      <c r="E571" s="254"/>
      <c r="F571" s="227"/>
      <c r="G571" s="227"/>
      <c r="H571" s="227"/>
    </row>
    <row r="572" spans="1:8" s="173" customFormat="1" hidden="1" x14ac:dyDescent="0.25">
      <c r="A572" s="131">
        <v>1</v>
      </c>
      <c r="B572" s="270" t="s">
        <v>223</v>
      </c>
      <c r="C572" s="21" t="s">
        <v>195</v>
      </c>
      <c r="D572" s="13"/>
      <c r="E572" s="255">
        <f>E565</f>
        <v>3250</v>
      </c>
      <c r="F572" s="227"/>
      <c r="G572" s="227"/>
      <c r="H572" s="227"/>
    </row>
    <row r="573" spans="1:8" s="173" customFormat="1" hidden="1" x14ac:dyDescent="0.25">
      <c r="A573" s="131">
        <v>1</v>
      </c>
      <c r="B573" s="270" t="s">
        <v>223</v>
      </c>
      <c r="C573" s="21" t="s">
        <v>197</v>
      </c>
      <c r="D573" s="13"/>
      <c r="E573" s="255">
        <f>E568</f>
        <v>35744.680851063829</v>
      </c>
      <c r="F573" s="227"/>
      <c r="G573" s="227"/>
      <c r="H573" s="227"/>
    </row>
    <row r="574" spans="1:8" s="173" customFormat="1" ht="18.75" hidden="1" customHeight="1" thickBot="1" x14ac:dyDescent="0.3">
      <c r="A574" s="131">
        <v>1</v>
      </c>
      <c r="B574" s="270" t="s">
        <v>223</v>
      </c>
      <c r="C574" s="22" t="s">
        <v>112</v>
      </c>
      <c r="D574" s="265"/>
      <c r="E574" s="272">
        <f>E570/4.2+E565</f>
        <v>83250</v>
      </c>
      <c r="F574" s="268"/>
      <c r="G574" s="460"/>
      <c r="H574" s="460"/>
    </row>
    <row r="575" spans="1:8" s="173" customFormat="1" ht="15.75" hidden="1" thickBot="1" x14ac:dyDescent="0.3">
      <c r="A575" s="131">
        <v>1</v>
      </c>
      <c r="B575" s="270" t="s">
        <v>223</v>
      </c>
      <c r="C575" s="168" t="s">
        <v>213</v>
      </c>
      <c r="D575" s="169"/>
      <c r="E575" s="258">
        <f>E572+(E570)/4.2</f>
        <v>83250</v>
      </c>
      <c r="F575" s="171"/>
      <c r="G575" s="262"/>
      <c r="H575" s="273"/>
    </row>
    <row r="576" spans="1:8" s="173" customFormat="1" ht="14.25" hidden="1" customHeight="1" x14ac:dyDescent="0.25">
      <c r="A576" s="131">
        <v>1</v>
      </c>
      <c r="B576" s="131"/>
      <c r="C576" s="274"/>
      <c r="D576" s="192"/>
      <c r="E576" s="271"/>
      <c r="F576" s="227"/>
      <c r="G576" s="227"/>
      <c r="H576" s="227"/>
    </row>
    <row r="577" spans="1:8" ht="57.75" hidden="1" x14ac:dyDescent="0.25">
      <c r="A577" s="136" t="s">
        <v>224</v>
      </c>
      <c r="B577" s="136" t="s">
        <v>224</v>
      </c>
      <c r="C577" s="686" t="s">
        <v>312</v>
      </c>
      <c r="D577" s="139"/>
      <c r="E577" s="243"/>
      <c r="F577" s="39"/>
      <c r="G577" s="39"/>
      <c r="H577" s="39"/>
    </row>
    <row r="578" spans="1:8" hidden="1" x14ac:dyDescent="0.25">
      <c r="A578" s="136" t="s">
        <v>224</v>
      </c>
      <c r="B578" s="136" t="s">
        <v>224</v>
      </c>
      <c r="C578" s="137" t="s">
        <v>4</v>
      </c>
      <c r="D578" s="139"/>
      <c r="E578" s="243"/>
      <c r="F578" s="39"/>
      <c r="G578" s="39"/>
      <c r="H578" s="39"/>
    </row>
    <row r="579" spans="1:8" hidden="1" x14ac:dyDescent="0.25">
      <c r="A579" s="136" t="s">
        <v>224</v>
      </c>
      <c r="B579" s="136" t="s">
        <v>224</v>
      </c>
      <c r="C579" s="32" t="s">
        <v>43</v>
      </c>
      <c r="D579" s="139">
        <v>330</v>
      </c>
      <c r="E579" s="243">
        <v>200</v>
      </c>
      <c r="F579" s="275">
        <v>3</v>
      </c>
      <c r="G579" s="2">
        <f>ROUND(H579/D579,0)</f>
        <v>2</v>
      </c>
      <c r="H579" s="39">
        <f>ROUND(E579*F579,0)</f>
        <v>600</v>
      </c>
    </row>
    <row r="580" spans="1:8" ht="15.75" hidden="1" x14ac:dyDescent="0.25">
      <c r="A580" s="136" t="s">
        <v>224</v>
      </c>
      <c r="B580" s="136" t="s">
        <v>224</v>
      </c>
      <c r="C580" s="276" t="s">
        <v>5</v>
      </c>
      <c r="D580" s="199"/>
      <c r="E580" s="242">
        <f>E579</f>
        <v>200</v>
      </c>
      <c r="F580" s="151">
        <f>H580/E580</f>
        <v>3</v>
      </c>
      <c r="G580" s="38">
        <f>G579</f>
        <v>2</v>
      </c>
      <c r="H580" s="38">
        <f>H579</f>
        <v>600</v>
      </c>
    </row>
    <row r="581" spans="1:8" ht="15.75" hidden="1" x14ac:dyDescent="0.25">
      <c r="A581" s="136" t="s">
        <v>224</v>
      </c>
      <c r="B581" s="136" t="s">
        <v>224</v>
      </c>
      <c r="C581" s="143" t="s">
        <v>207</v>
      </c>
      <c r="D581" s="277"/>
      <c r="E581" s="278"/>
      <c r="F581" s="151"/>
      <c r="G581" s="38"/>
      <c r="H581" s="38"/>
    </row>
    <row r="582" spans="1:8" hidden="1" x14ac:dyDescent="0.25">
      <c r="A582" s="136" t="s">
        <v>224</v>
      </c>
      <c r="B582" s="136" t="s">
        <v>224</v>
      </c>
      <c r="C582" s="253" t="s">
        <v>111</v>
      </c>
      <c r="D582" s="41"/>
      <c r="E582" s="254"/>
      <c r="F582" s="158"/>
      <c r="G582" s="38"/>
      <c r="H582" s="38"/>
    </row>
    <row r="583" spans="1:8" hidden="1" x14ac:dyDescent="0.25">
      <c r="A583" s="136" t="s">
        <v>224</v>
      </c>
      <c r="B583" s="136" t="s">
        <v>224</v>
      </c>
      <c r="C583" s="12" t="s">
        <v>98</v>
      </c>
      <c r="D583" s="41"/>
      <c r="E583" s="254"/>
      <c r="F583" s="158"/>
      <c r="G583" s="38"/>
      <c r="H583" s="38"/>
    </row>
    <row r="584" spans="1:8" hidden="1" x14ac:dyDescent="0.25">
      <c r="A584" s="136" t="s">
        <v>224</v>
      </c>
      <c r="B584" s="136" t="s">
        <v>224</v>
      </c>
      <c r="C584" s="14" t="s">
        <v>251</v>
      </c>
      <c r="D584" s="41"/>
      <c r="E584" s="255">
        <f>E586+E590</f>
        <v>200</v>
      </c>
      <c r="F584" s="158"/>
      <c r="G584" s="38"/>
      <c r="H584" s="38"/>
    </row>
    <row r="585" spans="1:8" hidden="1" x14ac:dyDescent="0.25">
      <c r="A585" s="136" t="s">
        <v>224</v>
      </c>
      <c r="B585" s="136" t="s">
        <v>224</v>
      </c>
      <c r="C585" s="15" t="s">
        <v>252</v>
      </c>
      <c r="D585" s="41"/>
      <c r="E585" s="254"/>
      <c r="F585" s="158"/>
      <c r="G585" s="38"/>
      <c r="H585" s="38"/>
    </row>
    <row r="586" spans="1:8" ht="30" hidden="1" x14ac:dyDescent="0.25">
      <c r="A586" s="136" t="s">
        <v>224</v>
      </c>
      <c r="B586" s="136" t="s">
        <v>224</v>
      </c>
      <c r="C586" s="16" t="s">
        <v>388</v>
      </c>
      <c r="D586" s="41"/>
      <c r="E586" s="254">
        <f>E587</f>
        <v>200</v>
      </c>
      <c r="F586" s="158"/>
      <c r="G586" s="38"/>
      <c r="H586" s="38"/>
    </row>
    <row r="587" spans="1:8" s="145" customFormat="1" hidden="1" x14ac:dyDescent="0.25">
      <c r="A587" s="136" t="s">
        <v>224</v>
      </c>
      <c r="B587" s="136" t="s">
        <v>224</v>
      </c>
      <c r="C587" s="15" t="s">
        <v>389</v>
      </c>
      <c r="D587" s="13"/>
      <c r="E587" s="254">
        <v>200</v>
      </c>
      <c r="F587" s="10"/>
      <c r="G587" s="10"/>
      <c r="H587" s="10"/>
    </row>
    <row r="588" spans="1:8" ht="45" hidden="1" x14ac:dyDescent="0.25">
      <c r="A588" s="136" t="s">
        <v>224</v>
      </c>
      <c r="B588" s="136" t="s">
        <v>224</v>
      </c>
      <c r="C588" s="15" t="s">
        <v>391</v>
      </c>
      <c r="D588" s="41"/>
      <c r="E588" s="254"/>
      <c r="F588" s="158"/>
      <c r="G588" s="38"/>
      <c r="H588" s="38"/>
    </row>
    <row r="589" spans="1:8" ht="60" hidden="1" x14ac:dyDescent="0.25">
      <c r="A589" s="136" t="s">
        <v>224</v>
      </c>
      <c r="B589" s="136" t="s">
        <v>224</v>
      </c>
      <c r="C589" s="15" t="s">
        <v>392</v>
      </c>
      <c r="D589" s="41"/>
      <c r="E589" s="254"/>
      <c r="F589" s="158"/>
      <c r="G589" s="38"/>
      <c r="H589" s="38"/>
    </row>
    <row r="590" spans="1:8" ht="45" hidden="1" x14ac:dyDescent="0.25">
      <c r="A590" s="136" t="s">
        <v>224</v>
      </c>
      <c r="B590" s="136" t="s">
        <v>224</v>
      </c>
      <c r="C590" s="18" t="s">
        <v>393</v>
      </c>
      <c r="D590" s="41"/>
      <c r="E590" s="254"/>
      <c r="F590" s="158"/>
      <c r="G590" s="38"/>
      <c r="H590" s="38"/>
    </row>
    <row r="591" spans="1:8" hidden="1" x14ac:dyDescent="0.25">
      <c r="A591" s="136" t="s">
        <v>224</v>
      </c>
      <c r="B591" s="136" t="s">
        <v>224</v>
      </c>
      <c r="C591" s="14" t="s">
        <v>253</v>
      </c>
      <c r="D591" s="41"/>
      <c r="E591" s="254"/>
      <c r="F591" s="158"/>
      <c r="G591" s="38"/>
      <c r="H591" s="38"/>
    </row>
    <row r="592" spans="1:8" ht="29.25" hidden="1" x14ac:dyDescent="0.25">
      <c r="A592" s="136" t="s">
        <v>224</v>
      </c>
      <c r="B592" s="136" t="s">
        <v>224</v>
      </c>
      <c r="C592" s="14" t="s">
        <v>256</v>
      </c>
      <c r="D592" s="13"/>
      <c r="E592" s="254">
        <f>E593</f>
        <v>0</v>
      </c>
      <c r="F592" s="158"/>
      <c r="G592" s="38"/>
      <c r="H592" s="38"/>
    </row>
    <row r="593" spans="1:8" ht="30" hidden="1" x14ac:dyDescent="0.25">
      <c r="A593" s="136" t="s">
        <v>224</v>
      </c>
      <c r="B593" s="136" t="s">
        <v>224</v>
      </c>
      <c r="C593" s="19" t="s">
        <v>117</v>
      </c>
      <c r="D593" s="13"/>
      <c r="E593" s="254"/>
      <c r="F593" s="158"/>
      <c r="G593" s="38"/>
      <c r="H593" s="38"/>
    </row>
    <row r="594" spans="1:8" ht="57.75" hidden="1" x14ac:dyDescent="0.25">
      <c r="A594" s="136" t="s">
        <v>224</v>
      </c>
      <c r="B594" s="136" t="s">
        <v>224</v>
      </c>
      <c r="C594" s="14" t="s">
        <v>257</v>
      </c>
      <c r="D594" s="13"/>
      <c r="E594" s="254"/>
      <c r="F594" s="158"/>
      <c r="G594" s="38"/>
      <c r="H594" s="38"/>
    </row>
    <row r="595" spans="1:8" hidden="1" x14ac:dyDescent="0.25">
      <c r="A595" s="136" t="s">
        <v>224</v>
      </c>
      <c r="B595" s="136" t="s">
        <v>224</v>
      </c>
      <c r="C595" s="21" t="s">
        <v>195</v>
      </c>
      <c r="D595" s="13"/>
      <c r="E595" s="279">
        <f>E584</f>
        <v>200</v>
      </c>
      <c r="F595" s="158"/>
      <c r="G595" s="38"/>
      <c r="H595" s="38"/>
    </row>
    <row r="596" spans="1:8" hidden="1" x14ac:dyDescent="0.25">
      <c r="A596" s="136" t="s">
        <v>224</v>
      </c>
      <c r="B596" s="136" t="s">
        <v>224</v>
      </c>
      <c r="C596" s="21" t="s">
        <v>197</v>
      </c>
      <c r="D596" s="13"/>
      <c r="E596" s="279"/>
      <c r="F596" s="158"/>
      <c r="G596" s="38"/>
      <c r="H596" s="38"/>
    </row>
    <row r="597" spans="1:8" ht="29.25" hidden="1" x14ac:dyDescent="0.25">
      <c r="A597" s="136" t="s">
        <v>224</v>
      </c>
      <c r="B597" s="136" t="s">
        <v>224</v>
      </c>
      <c r="C597" s="21" t="s">
        <v>198</v>
      </c>
      <c r="D597" s="13"/>
      <c r="E597" s="279"/>
      <c r="F597" s="158"/>
      <c r="G597" s="38"/>
      <c r="H597" s="38"/>
    </row>
    <row r="598" spans="1:8" hidden="1" x14ac:dyDescent="0.25">
      <c r="A598" s="136" t="s">
        <v>224</v>
      </c>
      <c r="B598" s="136" t="s">
        <v>224</v>
      </c>
      <c r="C598" s="22" t="s">
        <v>112</v>
      </c>
      <c r="D598" s="13"/>
      <c r="E598" s="280">
        <f>E595</f>
        <v>200</v>
      </c>
      <c r="F598" s="161"/>
      <c r="G598" s="38"/>
      <c r="H598" s="38"/>
    </row>
    <row r="599" spans="1:8" ht="17.25" hidden="1" customHeight="1" x14ac:dyDescent="0.25">
      <c r="A599" s="136" t="s">
        <v>224</v>
      </c>
      <c r="B599" s="136" t="s">
        <v>224</v>
      </c>
      <c r="C599" s="30" t="s">
        <v>7</v>
      </c>
      <c r="D599" s="144"/>
      <c r="E599" s="243"/>
      <c r="F599" s="138"/>
      <c r="G599" s="138"/>
      <c r="H599" s="39"/>
    </row>
    <row r="600" spans="1:8" hidden="1" x14ac:dyDescent="0.25">
      <c r="A600" s="136" t="s">
        <v>224</v>
      </c>
      <c r="B600" s="136" t="s">
        <v>224</v>
      </c>
      <c r="C600" s="40" t="s">
        <v>93</v>
      </c>
      <c r="D600" s="24"/>
      <c r="E600" s="243"/>
      <c r="F600" s="138"/>
      <c r="G600" s="226"/>
      <c r="H600" s="227"/>
    </row>
    <row r="601" spans="1:8" ht="17.25" hidden="1" customHeight="1" x14ac:dyDescent="0.25">
      <c r="A601" s="136" t="s">
        <v>224</v>
      </c>
      <c r="B601" s="136" t="s">
        <v>224</v>
      </c>
      <c r="C601" s="1" t="s">
        <v>43</v>
      </c>
      <c r="D601" s="24">
        <v>330</v>
      </c>
      <c r="E601" s="243"/>
      <c r="F601" s="275">
        <v>8</v>
      </c>
      <c r="G601" s="2">
        <f>ROUND(H601/D601,0)</f>
        <v>0</v>
      </c>
      <c r="H601" s="39">
        <f>ROUND(E601*F601,0)</f>
        <v>0</v>
      </c>
    </row>
    <row r="602" spans="1:8" hidden="1" x14ac:dyDescent="0.25">
      <c r="A602" s="136" t="s">
        <v>224</v>
      </c>
      <c r="B602" s="136" t="s">
        <v>224</v>
      </c>
      <c r="C602" s="30" t="s">
        <v>9</v>
      </c>
      <c r="D602" s="229"/>
      <c r="E602" s="246">
        <f>E601</f>
        <v>0</v>
      </c>
      <c r="F602" s="36"/>
      <c r="G602" s="232">
        <f>G601</f>
        <v>0</v>
      </c>
      <c r="H602" s="232">
        <f>H601</f>
        <v>0</v>
      </c>
    </row>
    <row r="603" spans="1:8" hidden="1" x14ac:dyDescent="0.25">
      <c r="A603" s="136" t="s">
        <v>224</v>
      </c>
      <c r="B603" s="136" t="s">
        <v>224</v>
      </c>
      <c r="C603" s="40" t="s">
        <v>18</v>
      </c>
      <c r="D603" s="24"/>
      <c r="E603" s="243"/>
      <c r="F603" s="138"/>
      <c r="G603" s="226"/>
      <c r="H603" s="227"/>
    </row>
    <row r="604" spans="1:8" hidden="1" x14ac:dyDescent="0.25">
      <c r="A604" s="136" t="s">
        <v>224</v>
      </c>
      <c r="B604" s="136" t="s">
        <v>224</v>
      </c>
      <c r="C604" s="25" t="s">
        <v>43</v>
      </c>
      <c r="D604" s="24">
        <v>240</v>
      </c>
      <c r="E604" s="243">
        <v>2730</v>
      </c>
      <c r="F604" s="275">
        <v>2</v>
      </c>
      <c r="G604" s="2">
        <f>ROUND(H604/D604,0)</f>
        <v>23</v>
      </c>
      <c r="H604" s="39">
        <f>ROUND(E604*F604,0)</f>
        <v>5460</v>
      </c>
    </row>
    <row r="605" spans="1:8" ht="15.75" hidden="1" x14ac:dyDescent="0.25">
      <c r="A605" s="136" t="s">
        <v>224</v>
      </c>
      <c r="B605" s="136" t="s">
        <v>224</v>
      </c>
      <c r="C605" s="154" t="s">
        <v>94</v>
      </c>
      <c r="D605" s="24"/>
      <c r="E605" s="246">
        <f>E604</f>
        <v>2730</v>
      </c>
      <c r="F605" s="151">
        <f>H605/E605</f>
        <v>2</v>
      </c>
      <c r="G605" s="232">
        <f>G604</f>
        <v>23</v>
      </c>
      <c r="H605" s="232">
        <f>H604</f>
        <v>5460</v>
      </c>
    </row>
    <row r="606" spans="1:8" ht="18" hidden="1" customHeight="1" thickBot="1" x14ac:dyDescent="0.3">
      <c r="A606" s="136" t="s">
        <v>224</v>
      </c>
      <c r="B606" s="136" t="s">
        <v>224</v>
      </c>
      <c r="C606" s="26" t="s">
        <v>88</v>
      </c>
      <c r="D606" s="233"/>
      <c r="E606" s="257">
        <f>E602+E605</f>
        <v>2730</v>
      </c>
      <c r="F606" s="234">
        <f>H606/E606</f>
        <v>2</v>
      </c>
      <c r="G606" s="235">
        <f>G602+G605</f>
        <v>23</v>
      </c>
      <c r="H606" s="235">
        <f>H602+H605</f>
        <v>5460</v>
      </c>
    </row>
    <row r="607" spans="1:8" s="173" customFormat="1" ht="15.75" hidden="1" thickBot="1" x14ac:dyDescent="0.3">
      <c r="A607" s="136" t="s">
        <v>224</v>
      </c>
      <c r="B607" s="136" t="s">
        <v>224</v>
      </c>
      <c r="C607" s="168" t="s">
        <v>213</v>
      </c>
      <c r="D607" s="169"/>
      <c r="E607" s="170"/>
      <c r="F607" s="171"/>
      <c r="G607" s="172"/>
      <c r="H607" s="171"/>
    </row>
    <row r="608" spans="1:8" s="182" customFormat="1" ht="43.5" hidden="1" x14ac:dyDescent="0.25">
      <c r="A608" s="131">
        <v>1</v>
      </c>
      <c r="B608" s="136" t="s">
        <v>225</v>
      </c>
      <c r="C608" s="686" t="s">
        <v>323</v>
      </c>
      <c r="D608" s="186"/>
      <c r="E608" s="281"/>
      <c r="F608" s="227"/>
      <c r="G608" s="227"/>
      <c r="H608" s="227"/>
    </row>
    <row r="609" spans="1:8" s="182" customFormat="1" hidden="1" x14ac:dyDescent="0.25">
      <c r="A609" s="131">
        <v>1</v>
      </c>
      <c r="B609" s="136" t="s">
        <v>225</v>
      </c>
      <c r="C609" s="137" t="s">
        <v>4</v>
      </c>
      <c r="D609" s="144"/>
      <c r="E609" s="225"/>
      <c r="F609" s="39"/>
      <c r="G609" s="39"/>
      <c r="H609" s="39"/>
    </row>
    <row r="610" spans="1:8" s="182" customFormat="1" ht="15" hidden="1" customHeight="1" x14ac:dyDescent="0.25">
      <c r="A610" s="131">
        <v>1</v>
      </c>
      <c r="B610" s="136" t="s">
        <v>225</v>
      </c>
      <c r="C610" s="141" t="s">
        <v>32</v>
      </c>
      <c r="D610" s="24">
        <v>340</v>
      </c>
      <c r="E610" s="282"/>
      <c r="F610" s="283">
        <v>10</v>
      </c>
      <c r="G610" s="2">
        <f t="shared" ref="G610:G624" si="18">ROUND(H610/D610,0)</f>
        <v>0</v>
      </c>
      <c r="H610" s="39">
        <f t="shared" ref="H610:H624" si="19">ROUND(E610*F610,0)</f>
        <v>0</v>
      </c>
    </row>
    <row r="611" spans="1:8" s="182" customFormat="1" ht="15" hidden="1" customHeight="1" x14ac:dyDescent="0.25">
      <c r="A611" s="131">
        <v>1</v>
      </c>
      <c r="B611" s="136" t="s">
        <v>225</v>
      </c>
      <c r="C611" s="141" t="s">
        <v>21</v>
      </c>
      <c r="D611" s="24">
        <v>340</v>
      </c>
      <c r="E611" s="282"/>
      <c r="F611" s="283">
        <v>6.1</v>
      </c>
      <c r="G611" s="2">
        <f t="shared" si="18"/>
        <v>0</v>
      </c>
      <c r="H611" s="39">
        <f t="shared" si="19"/>
        <v>0</v>
      </c>
    </row>
    <row r="612" spans="1:8" s="182" customFormat="1" hidden="1" x14ac:dyDescent="0.25">
      <c r="A612" s="131">
        <v>1</v>
      </c>
      <c r="B612" s="136" t="s">
        <v>225</v>
      </c>
      <c r="C612" s="141" t="s">
        <v>203</v>
      </c>
      <c r="D612" s="24">
        <v>340</v>
      </c>
      <c r="E612" s="282"/>
      <c r="F612" s="283">
        <v>8.4</v>
      </c>
      <c r="G612" s="2">
        <f t="shared" si="18"/>
        <v>0</v>
      </c>
      <c r="H612" s="39">
        <f t="shared" si="19"/>
        <v>0</v>
      </c>
    </row>
    <row r="613" spans="1:8" s="182" customFormat="1" hidden="1" x14ac:dyDescent="0.25">
      <c r="A613" s="131">
        <v>1</v>
      </c>
      <c r="B613" s="136" t="s">
        <v>225</v>
      </c>
      <c r="C613" s="141" t="s">
        <v>70</v>
      </c>
      <c r="D613" s="24">
        <v>340</v>
      </c>
      <c r="E613" s="282"/>
      <c r="F613" s="283">
        <v>14.3</v>
      </c>
      <c r="G613" s="2">
        <f t="shared" si="18"/>
        <v>0</v>
      </c>
      <c r="H613" s="39">
        <f t="shared" si="19"/>
        <v>0</v>
      </c>
    </row>
    <row r="614" spans="1:8" s="182" customFormat="1" hidden="1" x14ac:dyDescent="0.25">
      <c r="A614" s="131">
        <v>1</v>
      </c>
      <c r="B614" s="136" t="s">
        <v>225</v>
      </c>
      <c r="C614" s="141" t="s">
        <v>20</v>
      </c>
      <c r="D614" s="24">
        <v>340</v>
      </c>
      <c r="E614" s="282"/>
      <c r="F614" s="283">
        <v>10</v>
      </c>
      <c r="G614" s="2">
        <f t="shared" si="18"/>
        <v>0</v>
      </c>
      <c r="H614" s="39">
        <f t="shared" si="19"/>
        <v>0</v>
      </c>
    </row>
    <row r="615" spans="1:8" s="182" customFormat="1" hidden="1" x14ac:dyDescent="0.25">
      <c r="A615" s="131">
        <v>1</v>
      </c>
      <c r="B615" s="136" t="s">
        <v>225</v>
      </c>
      <c r="C615" s="141" t="s">
        <v>55</v>
      </c>
      <c r="D615" s="24">
        <v>340</v>
      </c>
      <c r="E615" s="282"/>
      <c r="F615" s="283">
        <v>12</v>
      </c>
      <c r="G615" s="2">
        <f t="shared" si="18"/>
        <v>0</v>
      </c>
      <c r="H615" s="39">
        <f t="shared" si="19"/>
        <v>0</v>
      </c>
    </row>
    <row r="616" spans="1:8" s="182" customFormat="1" hidden="1" x14ac:dyDescent="0.25">
      <c r="A616" s="131"/>
      <c r="B616" s="136" t="s">
        <v>225</v>
      </c>
      <c r="C616" s="141" t="s">
        <v>79</v>
      </c>
      <c r="D616" s="24">
        <v>340</v>
      </c>
      <c r="E616" s="282"/>
      <c r="F616" s="283">
        <v>10</v>
      </c>
      <c r="G616" s="2">
        <f t="shared" si="18"/>
        <v>0</v>
      </c>
      <c r="H616" s="39">
        <f t="shared" si="19"/>
        <v>0</v>
      </c>
    </row>
    <row r="617" spans="1:8" s="182" customFormat="1" hidden="1" x14ac:dyDescent="0.25">
      <c r="A617" s="131"/>
      <c r="B617" s="136" t="s">
        <v>225</v>
      </c>
      <c r="C617" s="141" t="s">
        <v>172</v>
      </c>
      <c r="D617" s="24">
        <v>340</v>
      </c>
      <c r="E617" s="282"/>
      <c r="F617" s="283">
        <v>6</v>
      </c>
      <c r="G617" s="2">
        <f t="shared" si="18"/>
        <v>0</v>
      </c>
      <c r="H617" s="39">
        <f t="shared" si="19"/>
        <v>0</v>
      </c>
    </row>
    <row r="618" spans="1:8" s="182" customFormat="1" hidden="1" x14ac:dyDescent="0.25">
      <c r="A618" s="131"/>
      <c r="B618" s="136" t="s">
        <v>225</v>
      </c>
      <c r="C618" s="141" t="s">
        <v>43</v>
      </c>
      <c r="D618" s="24">
        <v>340</v>
      </c>
      <c r="E618" s="282"/>
      <c r="F618" s="283">
        <v>7.4</v>
      </c>
      <c r="G618" s="2">
        <f t="shared" si="18"/>
        <v>0</v>
      </c>
      <c r="H618" s="39">
        <f t="shared" si="19"/>
        <v>0</v>
      </c>
    </row>
    <row r="619" spans="1:8" s="182" customFormat="1" hidden="1" x14ac:dyDescent="0.25">
      <c r="A619" s="131"/>
      <c r="B619" s="136"/>
      <c r="C619" s="141" t="s">
        <v>13</v>
      </c>
      <c r="D619" s="24"/>
      <c r="E619" s="282"/>
      <c r="F619" s="283"/>
      <c r="G619" s="2"/>
      <c r="H619" s="39"/>
    </row>
    <row r="620" spans="1:8" s="182" customFormat="1" hidden="1" x14ac:dyDescent="0.25">
      <c r="A620" s="131"/>
      <c r="B620" s="136" t="s">
        <v>225</v>
      </c>
      <c r="C620" s="141" t="s">
        <v>19</v>
      </c>
      <c r="D620" s="24">
        <v>340</v>
      </c>
      <c r="E620" s="282"/>
      <c r="F620" s="283">
        <v>10.6</v>
      </c>
      <c r="G620" s="2">
        <f t="shared" si="18"/>
        <v>0</v>
      </c>
      <c r="H620" s="39">
        <f t="shared" si="19"/>
        <v>0</v>
      </c>
    </row>
    <row r="621" spans="1:8" s="182" customFormat="1" hidden="1" x14ac:dyDescent="0.25">
      <c r="A621" s="131">
        <v>1</v>
      </c>
      <c r="B621" s="136" t="s">
        <v>225</v>
      </c>
      <c r="C621" s="141" t="s">
        <v>56</v>
      </c>
      <c r="D621" s="24">
        <v>340</v>
      </c>
      <c r="E621" s="282"/>
      <c r="F621" s="283">
        <v>11.5</v>
      </c>
      <c r="G621" s="2">
        <f t="shared" si="18"/>
        <v>0</v>
      </c>
      <c r="H621" s="39">
        <f t="shared" si="19"/>
        <v>0</v>
      </c>
    </row>
    <row r="622" spans="1:8" s="182" customFormat="1" hidden="1" x14ac:dyDescent="0.25">
      <c r="A622" s="131">
        <v>1</v>
      </c>
      <c r="B622" s="136" t="s">
        <v>225</v>
      </c>
      <c r="C622" s="141" t="s">
        <v>11</v>
      </c>
      <c r="D622" s="24">
        <v>340</v>
      </c>
      <c r="E622" s="282"/>
      <c r="F622" s="283">
        <v>8.9</v>
      </c>
      <c r="G622" s="2">
        <f t="shared" si="18"/>
        <v>0</v>
      </c>
      <c r="H622" s="39">
        <f t="shared" si="19"/>
        <v>0</v>
      </c>
    </row>
    <row r="623" spans="1:8" s="182" customFormat="1" hidden="1" x14ac:dyDescent="0.25">
      <c r="A623" s="131">
        <v>1</v>
      </c>
      <c r="B623" s="136" t="s">
        <v>225</v>
      </c>
      <c r="C623" s="141" t="s">
        <v>10</v>
      </c>
      <c r="D623" s="24">
        <v>340</v>
      </c>
      <c r="E623" s="282"/>
      <c r="F623" s="283">
        <v>8.4</v>
      </c>
      <c r="G623" s="2">
        <f t="shared" si="18"/>
        <v>0</v>
      </c>
      <c r="H623" s="39">
        <f t="shared" si="19"/>
        <v>0</v>
      </c>
    </row>
    <row r="624" spans="1:8" s="182" customFormat="1" hidden="1" x14ac:dyDescent="0.25">
      <c r="A624" s="131"/>
      <c r="B624" s="136"/>
      <c r="C624" s="141" t="s">
        <v>247</v>
      </c>
      <c r="D624" s="24">
        <v>310</v>
      </c>
      <c r="E624" s="282"/>
      <c r="F624" s="283">
        <v>10</v>
      </c>
      <c r="G624" s="2">
        <f t="shared" si="18"/>
        <v>0</v>
      </c>
      <c r="H624" s="39">
        <f t="shared" si="19"/>
        <v>0</v>
      </c>
    </row>
    <row r="625" spans="1:8" s="182" customFormat="1" ht="15.75" hidden="1" thickBot="1" x14ac:dyDescent="0.3">
      <c r="A625" s="131">
        <v>1</v>
      </c>
      <c r="B625" s="136" t="s">
        <v>225</v>
      </c>
      <c r="C625" s="276" t="s">
        <v>5</v>
      </c>
      <c r="D625" s="199"/>
      <c r="E625" s="284">
        <f>SUM(E610:E624)</f>
        <v>0</v>
      </c>
      <c r="F625" s="158" t="e">
        <f>H625/E625</f>
        <v>#DIV/0!</v>
      </c>
      <c r="G625" s="285">
        <f t="shared" ref="G625:H625" si="20">SUM(G610:G624)</f>
        <v>0</v>
      </c>
      <c r="H625" s="285">
        <f t="shared" si="20"/>
        <v>0</v>
      </c>
    </row>
    <row r="626" spans="1:8" s="182" customFormat="1" ht="16.5" hidden="1" customHeight="1" thickBot="1" x14ac:dyDescent="0.3">
      <c r="A626" s="131">
        <v>1</v>
      </c>
      <c r="B626" s="136" t="s">
        <v>225</v>
      </c>
      <c r="C626" s="247" t="s">
        <v>213</v>
      </c>
      <c r="D626" s="169"/>
      <c r="E626" s="205"/>
      <c r="F626" s="171"/>
      <c r="G626" s="171"/>
      <c r="H626" s="171"/>
    </row>
    <row r="627" spans="1:8" s="182" customFormat="1" ht="52.5" hidden="1" customHeight="1" x14ac:dyDescent="0.25">
      <c r="A627" s="131">
        <v>1</v>
      </c>
      <c r="B627" s="136" t="s">
        <v>226</v>
      </c>
      <c r="C627" s="686" t="s">
        <v>324</v>
      </c>
      <c r="D627" s="286"/>
      <c r="E627" s="225"/>
      <c r="F627" s="39"/>
      <c r="G627" s="39"/>
      <c r="H627" s="39"/>
    </row>
    <row r="628" spans="1:8" s="182" customFormat="1" hidden="1" x14ac:dyDescent="0.25">
      <c r="A628" s="131">
        <v>1</v>
      </c>
      <c r="B628" s="136" t="s">
        <v>226</v>
      </c>
      <c r="C628" s="12" t="s">
        <v>98</v>
      </c>
      <c r="D628" s="41"/>
      <c r="E628" s="130"/>
      <c r="F628" s="2"/>
      <c r="G628" s="2"/>
      <c r="H628" s="2"/>
    </row>
    <row r="629" spans="1:8" s="182" customFormat="1" hidden="1" x14ac:dyDescent="0.25">
      <c r="A629" s="131"/>
      <c r="B629" s="136" t="s">
        <v>226</v>
      </c>
      <c r="C629" s="14" t="s">
        <v>251</v>
      </c>
      <c r="D629" s="41"/>
      <c r="E629" s="146">
        <f>E630+E631+E635+E634</f>
        <v>15000</v>
      </c>
      <c r="F629" s="2"/>
      <c r="G629" s="2"/>
      <c r="H629" s="2"/>
    </row>
    <row r="630" spans="1:8" s="182" customFormat="1" hidden="1" x14ac:dyDescent="0.25">
      <c r="A630" s="131"/>
      <c r="B630" s="136" t="s">
        <v>226</v>
      </c>
      <c r="C630" s="15" t="s">
        <v>252</v>
      </c>
      <c r="D630" s="41"/>
      <c r="E630" s="130"/>
      <c r="F630" s="2"/>
      <c r="G630" s="2"/>
      <c r="H630" s="2"/>
    </row>
    <row r="631" spans="1:8" s="182" customFormat="1" ht="30" hidden="1" x14ac:dyDescent="0.25">
      <c r="A631" s="131"/>
      <c r="B631" s="136" t="s">
        <v>226</v>
      </c>
      <c r="C631" s="16" t="s">
        <v>388</v>
      </c>
      <c r="D631" s="41"/>
      <c r="E631" s="130">
        <f>E632+E633</f>
        <v>15000</v>
      </c>
      <c r="F631" s="2"/>
      <c r="G631" s="2"/>
      <c r="H631" s="2"/>
    </row>
    <row r="632" spans="1:8" s="145" customFormat="1" hidden="1" x14ac:dyDescent="0.25">
      <c r="A632" s="131"/>
      <c r="B632" s="136" t="s">
        <v>226</v>
      </c>
      <c r="C632" s="15" t="s">
        <v>389</v>
      </c>
      <c r="D632" s="13"/>
      <c r="E632" s="130">
        <v>15000</v>
      </c>
      <c r="F632" s="10"/>
      <c r="G632" s="10"/>
      <c r="H632" s="10"/>
    </row>
    <row r="633" spans="1:8" s="182" customFormat="1" ht="45" hidden="1" x14ac:dyDescent="0.25">
      <c r="A633" s="131"/>
      <c r="B633" s="136" t="s">
        <v>226</v>
      </c>
      <c r="C633" s="15" t="s">
        <v>391</v>
      </c>
      <c r="D633" s="41"/>
      <c r="E633" s="130"/>
      <c r="F633" s="2"/>
      <c r="G633" s="2"/>
      <c r="H633" s="2"/>
    </row>
    <row r="634" spans="1:8" s="182" customFormat="1" ht="60" hidden="1" x14ac:dyDescent="0.25">
      <c r="A634" s="131"/>
      <c r="B634" s="136" t="s">
        <v>226</v>
      </c>
      <c r="C634" s="15" t="s">
        <v>392</v>
      </c>
      <c r="D634" s="41"/>
      <c r="E634" s="130"/>
      <c r="F634" s="2"/>
      <c r="G634" s="2"/>
      <c r="H634" s="2"/>
    </row>
    <row r="635" spans="1:8" s="182" customFormat="1" ht="45" hidden="1" x14ac:dyDescent="0.25">
      <c r="A635" s="131"/>
      <c r="B635" s="136" t="s">
        <v>226</v>
      </c>
      <c r="C635" s="18" t="s">
        <v>393</v>
      </c>
      <c r="D635" s="41"/>
      <c r="E635" s="130"/>
      <c r="F635" s="2"/>
      <c r="G635" s="2"/>
      <c r="H635" s="2"/>
    </row>
    <row r="636" spans="1:8" s="182" customFormat="1" hidden="1" x14ac:dyDescent="0.25">
      <c r="A636" s="131"/>
      <c r="B636" s="136" t="s">
        <v>226</v>
      </c>
      <c r="C636" s="14" t="s">
        <v>253</v>
      </c>
      <c r="D636" s="41"/>
      <c r="E636" s="130"/>
      <c r="F636" s="2"/>
      <c r="G636" s="2"/>
      <c r="H636" s="2"/>
    </row>
    <row r="637" spans="1:8" s="182" customFormat="1" ht="29.25" hidden="1" x14ac:dyDescent="0.25">
      <c r="A637" s="131"/>
      <c r="B637" s="136" t="s">
        <v>226</v>
      </c>
      <c r="C637" s="14" t="s">
        <v>256</v>
      </c>
      <c r="D637" s="41"/>
      <c r="E637" s="130"/>
      <c r="F637" s="2"/>
      <c r="G637" s="2"/>
      <c r="H637" s="2"/>
    </row>
    <row r="638" spans="1:8" s="182" customFormat="1" ht="30" hidden="1" x14ac:dyDescent="0.25">
      <c r="A638" s="131">
        <v>1</v>
      </c>
      <c r="B638" s="136" t="s">
        <v>226</v>
      </c>
      <c r="C638" s="19" t="s">
        <v>117</v>
      </c>
      <c r="D638" s="41"/>
      <c r="E638" s="130"/>
      <c r="F638" s="2"/>
      <c r="G638" s="2"/>
      <c r="H638" s="2"/>
    </row>
    <row r="639" spans="1:8" s="182" customFormat="1" ht="57.75" hidden="1" x14ac:dyDescent="0.25">
      <c r="A639" s="131">
        <v>1</v>
      </c>
      <c r="B639" s="136" t="s">
        <v>226</v>
      </c>
      <c r="C639" s="14" t="s">
        <v>257</v>
      </c>
      <c r="D639" s="41"/>
      <c r="E639" s="130"/>
      <c r="F639" s="2"/>
      <c r="G639" s="2"/>
      <c r="H639" s="2"/>
    </row>
    <row r="640" spans="1:8" s="182" customFormat="1" hidden="1" x14ac:dyDescent="0.25">
      <c r="A640" s="131">
        <v>1</v>
      </c>
      <c r="B640" s="136" t="s">
        <v>226</v>
      </c>
      <c r="C640" s="179" t="s">
        <v>91</v>
      </c>
      <c r="D640" s="287"/>
      <c r="E640" s="160">
        <f>SUM(E641:E661)</f>
        <v>19600</v>
      </c>
      <c r="F640" s="138"/>
      <c r="G640" s="138"/>
      <c r="H640" s="39"/>
    </row>
    <row r="641" spans="1:8" s="182" customFormat="1" ht="30" hidden="1" x14ac:dyDescent="0.25">
      <c r="A641" s="131">
        <v>1</v>
      </c>
      <c r="B641" s="136" t="s">
        <v>226</v>
      </c>
      <c r="C641" s="32" t="s">
        <v>124</v>
      </c>
      <c r="D641" s="13"/>
      <c r="E641" s="193">
        <v>500</v>
      </c>
      <c r="F641" s="43"/>
      <c r="G641" s="43"/>
      <c r="H641" s="43"/>
    </row>
    <row r="642" spans="1:8" s="182" customFormat="1" ht="30" hidden="1" x14ac:dyDescent="0.25">
      <c r="A642" s="131">
        <v>1</v>
      </c>
      <c r="B642" s="136" t="s">
        <v>226</v>
      </c>
      <c r="C642" s="32" t="s">
        <v>125</v>
      </c>
      <c r="D642" s="13"/>
      <c r="E642" s="193">
        <v>1000</v>
      </c>
      <c r="F642" s="43"/>
      <c r="G642" s="43"/>
      <c r="H642" s="43"/>
    </row>
    <row r="643" spans="1:8" s="182" customFormat="1" hidden="1" x14ac:dyDescent="0.25">
      <c r="A643" s="131">
        <v>1</v>
      </c>
      <c r="B643" s="136" t="s">
        <v>226</v>
      </c>
      <c r="C643" s="32" t="s">
        <v>134</v>
      </c>
      <c r="D643" s="13"/>
      <c r="E643" s="193">
        <v>30</v>
      </c>
      <c r="F643" s="43"/>
      <c r="G643" s="43"/>
      <c r="H643" s="43"/>
    </row>
    <row r="644" spans="1:8" s="182" customFormat="1" ht="45" hidden="1" x14ac:dyDescent="0.25">
      <c r="A644" s="131">
        <v>1</v>
      </c>
      <c r="B644" s="136" t="s">
        <v>226</v>
      </c>
      <c r="C644" s="32" t="s">
        <v>135</v>
      </c>
      <c r="D644" s="13"/>
      <c r="E644" s="193">
        <v>1000</v>
      </c>
      <c r="F644" s="43"/>
      <c r="G644" s="43"/>
      <c r="H644" s="43"/>
    </row>
    <row r="645" spans="1:8" s="182" customFormat="1" hidden="1" x14ac:dyDescent="0.25">
      <c r="A645" s="131"/>
      <c r="B645" s="136"/>
      <c r="C645" s="32" t="s">
        <v>53</v>
      </c>
      <c r="D645" s="13"/>
      <c r="E645" s="193">
        <v>100</v>
      </c>
      <c r="F645" s="43"/>
      <c r="G645" s="43"/>
      <c r="H645" s="43"/>
    </row>
    <row r="646" spans="1:8" s="182" customFormat="1" hidden="1" x14ac:dyDescent="0.25">
      <c r="A646" s="131">
        <v>1</v>
      </c>
      <c r="B646" s="136" t="s">
        <v>226</v>
      </c>
      <c r="C646" s="32" t="s">
        <v>17</v>
      </c>
      <c r="D646" s="13"/>
      <c r="E646" s="193">
        <v>105</v>
      </c>
      <c r="F646" s="43"/>
      <c r="G646" s="43"/>
      <c r="H646" s="43"/>
    </row>
    <row r="647" spans="1:8" s="182" customFormat="1" ht="30" hidden="1" x14ac:dyDescent="0.25">
      <c r="A647" s="131">
        <v>1</v>
      </c>
      <c r="B647" s="136" t="s">
        <v>226</v>
      </c>
      <c r="C647" s="147" t="s">
        <v>139</v>
      </c>
      <c r="D647" s="13"/>
      <c r="E647" s="193">
        <v>1500</v>
      </c>
      <c r="F647" s="43"/>
      <c r="G647" s="43"/>
      <c r="H647" s="43"/>
    </row>
    <row r="648" spans="1:8" s="182" customFormat="1" hidden="1" x14ac:dyDescent="0.25">
      <c r="A648" s="131">
        <v>1</v>
      </c>
      <c r="B648" s="136" t="s">
        <v>226</v>
      </c>
      <c r="C648" s="32" t="s">
        <v>147</v>
      </c>
      <c r="D648" s="13"/>
      <c r="E648" s="193">
        <v>800</v>
      </c>
      <c r="F648" s="43"/>
      <c r="G648" s="43"/>
      <c r="H648" s="43"/>
    </row>
    <row r="649" spans="1:8" s="182" customFormat="1" hidden="1" x14ac:dyDescent="0.25">
      <c r="A649" s="131"/>
      <c r="B649" s="136" t="s">
        <v>226</v>
      </c>
      <c r="C649" s="32" t="s">
        <v>202</v>
      </c>
      <c r="D649" s="13"/>
      <c r="E649" s="193">
        <v>175</v>
      </c>
      <c r="F649" s="43"/>
      <c r="G649" s="43"/>
      <c r="H649" s="43"/>
    </row>
    <row r="650" spans="1:8" s="182" customFormat="1" hidden="1" x14ac:dyDescent="0.25">
      <c r="A650" s="131">
        <v>1</v>
      </c>
      <c r="B650" s="136" t="s">
        <v>226</v>
      </c>
      <c r="C650" s="148" t="s">
        <v>211</v>
      </c>
      <c r="D650" s="13"/>
      <c r="E650" s="193">
        <v>180</v>
      </c>
      <c r="F650" s="43"/>
      <c r="G650" s="43"/>
      <c r="H650" s="43"/>
    </row>
    <row r="651" spans="1:8" s="182" customFormat="1" ht="51" hidden="1" customHeight="1" x14ac:dyDescent="0.25">
      <c r="A651" s="131">
        <v>1</v>
      </c>
      <c r="B651" s="136" t="s">
        <v>226</v>
      </c>
      <c r="C651" s="148" t="s">
        <v>242</v>
      </c>
      <c r="D651" s="13"/>
      <c r="E651" s="193">
        <v>8200</v>
      </c>
      <c r="F651" s="43"/>
      <c r="G651" s="43"/>
      <c r="H651" s="43"/>
    </row>
    <row r="652" spans="1:8" s="182" customFormat="1" hidden="1" x14ac:dyDescent="0.25">
      <c r="A652" s="131"/>
      <c r="B652" s="136"/>
      <c r="C652" s="32" t="s">
        <v>121</v>
      </c>
      <c r="D652" s="13"/>
      <c r="E652" s="193">
        <v>600</v>
      </c>
      <c r="F652" s="43"/>
      <c r="G652" s="43"/>
      <c r="H652" s="43"/>
    </row>
    <row r="653" spans="1:8" s="182" customFormat="1" hidden="1" x14ac:dyDescent="0.25">
      <c r="A653" s="131">
        <v>1</v>
      </c>
      <c r="B653" s="136" t="s">
        <v>226</v>
      </c>
      <c r="C653" s="32" t="s">
        <v>50</v>
      </c>
      <c r="D653" s="13"/>
      <c r="E653" s="193">
        <v>100</v>
      </c>
      <c r="F653" s="43"/>
      <c r="G653" s="43"/>
      <c r="H653" s="43"/>
    </row>
    <row r="654" spans="1:8" s="182" customFormat="1" ht="20.25" hidden="1" customHeight="1" x14ac:dyDescent="0.25">
      <c r="A654" s="131">
        <v>1</v>
      </c>
      <c r="B654" s="136" t="s">
        <v>226</v>
      </c>
      <c r="C654" s="32" t="s">
        <v>52</v>
      </c>
      <c r="D654" s="13"/>
      <c r="E654" s="193">
        <v>40</v>
      </c>
      <c r="F654" s="43"/>
      <c r="G654" s="43"/>
      <c r="H654" s="43"/>
    </row>
    <row r="655" spans="1:8" s="182" customFormat="1" ht="30" hidden="1" x14ac:dyDescent="0.25">
      <c r="A655" s="131"/>
      <c r="B655" s="136" t="s">
        <v>226</v>
      </c>
      <c r="C655" s="224" t="s">
        <v>102</v>
      </c>
      <c r="D655" s="13"/>
      <c r="E655" s="193">
        <v>20</v>
      </c>
      <c r="F655" s="43"/>
      <c r="G655" s="43"/>
      <c r="H655" s="43"/>
    </row>
    <row r="656" spans="1:8" s="182" customFormat="1" ht="23.25" hidden="1" customHeight="1" x14ac:dyDescent="0.25">
      <c r="A656" s="131">
        <v>1</v>
      </c>
      <c r="B656" s="136" t="s">
        <v>226</v>
      </c>
      <c r="C656" s="148" t="s">
        <v>188</v>
      </c>
      <c r="D656" s="13"/>
      <c r="E656" s="193">
        <v>150</v>
      </c>
      <c r="F656" s="43"/>
      <c r="G656" s="43"/>
      <c r="H656" s="43"/>
    </row>
    <row r="657" spans="1:8" s="182" customFormat="1" ht="30" hidden="1" x14ac:dyDescent="0.25">
      <c r="A657" s="131"/>
      <c r="B657" s="136" t="s">
        <v>226</v>
      </c>
      <c r="C657" s="32" t="s">
        <v>200</v>
      </c>
      <c r="D657" s="13"/>
      <c r="E657" s="193">
        <v>680</v>
      </c>
      <c r="F657" s="43"/>
      <c r="G657" s="43"/>
      <c r="H657" s="43"/>
    </row>
    <row r="658" spans="1:8" s="182" customFormat="1" ht="30" hidden="1" x14ac:dyDescent="0.25">
      <c r="A658" s="131">
        <v>1</v>
      </c>
      <c r="B658" s="136" t="s">
        <v>226</v>
      </c>
      <c r="C658" s="32" t="s">
        <v>199</v>
      </c>
      <c r="D658" s="13"/>
      <c r="E658" s="193">
        <v>2600</v>
      </c>
      <c r="F658" s="43"/>
      <c r="G658" s="43"/>
      <c r="H658" s="43"/>
    </row>
    <row r="659" spans="1:8" s="182" customFormat="1" hidden="1" x14ac:dyDescent="0.25">
      <c r="A659" s="131"/>
      <c r="B659" s="136"/>
      <c r="C659" s="32" t="s">
        <v>15</v>
      </c>
      <c r="D659" s="13"/>
      <c r="E659" s="193">
        <v>200</v>
      </c>
      <c r="F659" s="43"/>
      <c r="G659" s="43"/>
      <c r="H659" s="43"/>
    </row>
    <row r="660" spans="1:8" s="182" customFormat="1" ht="15" hidden="1" customHeight="1" x14ac:dyDescent="0.25">
      <c r="A660" s="131"/>
      <c r="B660" s="136"/>
      <c r="C660" s="288" t="s">
        <v>51</v>
      </c>
      <c r="D660" s="287"/>
      <c r="E660" s="193">
        <v>1500</v>
      </c>
      <c r="F660" s="43"/>
      <c r="G660" s="289"/>
      <c r="H660" s="289"/>
    </row>
    <row r="661" spans="1:8" s="182" customFormat="1" hidden="1" x14ac:dyDescent="0.25">
      <c r="A661" s="131"/>
      <c r="B661" s="136"/>
      <c r="C661" s="288" t="s">
        <v>119</v>
      </c>
      <c r="D661" s="13"/>
      <c r="E661" s="193">
        <v>120</v>
      </c>
      <c r="F661" s="43"/>
      <c r="G661" s="43"/>
      <c r="H661" s="290"/>
    </row>
    <row r="662" spans="1:8" s="182" customFormat="1" hidden="1" x14ac:dyDescent="0.25">
      <c r="A662" s="131"/>
      <c r="B662" s="136" t="s">
        <v>226</v>
      </c>
      <c r="C662" s="21" t="s">
        <v>195</v>
      </c>
      <c r="D662" s="287"/>
      <c r="E662" s="216">
        <f>E629</f>
        <v>15000</v>
      </c>
      <c r="F662" s="43"/>
      <c r="G662" s="289"/>
      <c r="H662" s="43"/>
    </row>
    <row r="663" spans="1:8" s="182" customFormat="1" hidden="1" x14ac:dyDescent="0.25">
      <c r="A663" s="131"/>
      <c r="B663" s="136" t="s">
        <v>226</v>
      </c>
      <c r="C663" s="21" t="s">
        <v>197</v>
      </c>
      <c r="D663" s="265"/>
      <c r="E663" s="291"/>
      <c r="F663" s="289"/>
      <c r="G663" s="290"/>
      <c r="H663" s="290"/>
    </row>
    <row r="664" spans="1:8" s="182" customFormat="1" ht="29.25" hidden="1" x14ac:dyDescent="0.25">
      <c r="A664" s="131"/>
      <c r="B664" s="136" t="s">
        <v>226</v>
      </c>
      <c r="C664" s="21" t="s">
        <v>198</v>
      </c>
      <c r="D664" s="13"/>
      <c r="E664" s="193"/>
      <c r="F664" s="43"/>
      <c r="G664" s="290"/>
      <c r="H664" s="290"/>
    </row>
    <row r="665" spans="1:8" s="182" customFormat="1" hidden="1" x14ac:dyDescent="0.25">
      <c r="A665" s="131"/>
      <c r="B665" s="136" t="s">
        <v>226</v>
      </c>
      <c r="C665" s="22" t="s">
        <v>112</v>
      </c>
      <c r="D665" s="13"/>
      <c r="E665" s="13">
        <f>E662</f>
        <v>15000</v>
      </c>
      <c r="F665" s="13"/>
      <c r="G665" s="13"/>
      <c r="H665" s="13"/>
    </row>
    <row r="666" spans="1:8" s="182" customFormat="1" hidden="1" x14ac:dyDescent="0.25">
      <c r="A666" s="131"/>
      <c r="B666" s="136" t="s">
        <v>226</v>
      </c>
      <c r="C666" s="44" t="s">
        <v>7</v>
      </c>
      <c r="D666" s="44"/>
      <c r="E666" s="292"/>
      <c r="F666" s="44"/>
      <c r="G666" s="44"/>
      <c r="H666" s="30"/>
    </row>
    <row r="667" spans="1:8" s="182" customFormat="1" hidden="1" x14ac:dyDescent="0.25">
      <c r="A667" s="131"/>
      <c r="B667" s="136" t="s">
        <v>226</v>
      </c>
      <c r="C667" s="293" t="s">
        <v>18</v>
      </c>
      <c r="D667" s="293"/>
      <c r="E667" s="293"/>
      <c r="F667" s="293"/>
      <c r="G667" s="293"/>
      <c r="H667" s="40"/>
    </row>
    <row r="668" spans="1:8" s="182" customFormat="1" hidden="1" x14ac:dyDescent="0.25">
      <c r="A668" s="131"/>
      <c r="B668" s="136" t="s">
        <v>226</v>
      </c>
      <c r="C668" s="25" t="s">
        <v>20</v>
      </c>
      <c r="D668" s="294">
        <v>240</v>
      </c>
      <c r="E668" s="294"/>
      <c r="F668" s="294">
        <v>1</v>
      </c>
      <c r="G668" s="2">
        <f>ROUND(H668/D668,0)</f>
        <v>0</v>
      </c>
      <c r="H668" s="2">
        <f>ROUND(E668*F668,0)</f>
        <v>0</v>
      </c>
    </row>
    <row r="669" spans="1:8" s="182" customFormat="1" hidden="1" x14ac:dyDescent="0.25">
      <c r="A669" s="131"/>
      <c r="B669" s="136" t="s">
        <v>226</v>
      </c>
      <c r="C669" s="295" t="s">
        <v>94</v>
      </c>
      <c r="D669" s="294"/>
      <c r="E669" s="296">
        <f>SUM(E667:E668)</f>
        <v>0</v>
      </c>
      <c r="F669" s="296"/>
      <c r="G669" s="297">
        <f>G667+G668</f>
        <v>0</v>
      </c>
      <c r="H669" s="297">
        <f>H667+H668</f>
        <v>0</v>
      </c>
    </row>
    <row r="670" spans="1:8" ht="17.25" hidden="1" customHeight="1" x14ac:dyDescent="0.25">
      <c r="A670" s="136" t="s">
        <v>224</v>
      </c>
      <c r="B670" s="136" t="s">
        <v>224</v>
      </c>
      <c r="C670" s="40" t="s">
        <v>93</v>
      </c>
      <c r="D670" s="24"/>
      <c r="E670" s="243"/>
      <c r="F670" s="138"/>
      <c r="G670" s="226"/>
      <c r="H670" s="227"/>
    </row>
    <row r="671" spans="1:8" ht="17.25" hidden="1" customHeight="1" x14ac:dyDescent="0.25">
      <c r="A671" s="136" t="s">
        <v>224</v>
      </c>
      <c r="B671" s="136" t="s">
        <v>224</v>
      </c>
      <c r="C671" s="25" t="s">
        <v>20</v>
      </c>
      <c r="D671" s="24">
        <v>340</v>
      </c>
      <c r="E671" s="243"/>
      <c r="F671" s="275">
        <v>8</v>
      </c>
      <c r="G671" s="2">
        <f>ROUND(H671/D671,0)</f>
        <v>0</v>
      </c>
      <c r="H671" s="39">
        <f>ROUND(E671*F671,0)</f>
        <v>0</v>
      </c>
    </row>
    <row r="672" spans="1:8" ht="18" hidden="1" customHeight="1" x14ac:dyDescent="0.25">
      <c r="A672" s="136" t="s">
        <v>224</v>
      </c>
      <c r="B672" s="136" t="s">
        <v>224</v>
      </c>
      <c r="C672" s="30" t="s">
        <v>9</v>
      </c>
      <c r="D672" s="229"/>
      <c r="E672" s="246">
        <f>E671</f>
        <v>0</v>
      </c>
      <c r="F672" s="36"/>
      <c r="G672" s="232">
        <f>G671</f>
        <v>0</v>
      </c>
      <c r="H672" s="232">
        <f>H671</f>
        <v>0</v>
      </c>
    </row>
    <row r="673" spans="1:8" s="182" customFormat="1" ht="16.5" hidden="1" customHeight="1" thickBot="1" x14ac:dyDescent="0.3">
      <c r="A673" s="131"/>
      <c r="B673" s="136" t="s">
        <v>226</v>
      </c>
      <c r="C673" s="298" t="s">
        <v>88</v>
      </c>
      <c r="D673" s="287"/>
      <c r="E673" s="299">
        <f>E669+E672</f>
        <v>0</v>
      </c>
      <c r="F673" s="300"/>
      <c r="G673" s="301">
        <f>G669+G672</f>
        <v>0</v>
      </c>
      <c r="H673" s="297">
        <f>H669+H672</f>
        <v>0</v>
      </c>
    </row>
    <row r="674" spans="1:8" s="182" customFormat="1" ht="15.75" hidden="1" thickBot="1" x14ac:dyDescent="0.3">
      <c r="A674" s="131">
        <v>1</v>
      </c>
      <c r="B674" s="136" t="s">
        <v>226</v>
      </c>
      <c r="C674" s="247" t="s">
        <v>213</v>
      </c>
      <c r="D674" s="169"/>
      <c r="E674" s="205"/>
      <c r="F674" s="171"/>
      <c r="G674" s="171"/>
      <c r="H674" s="206"/>
    </row>
    <row r="675" spans="1:8" s="302" customFormat="1" ht="34.5" hidden="1" customHeight="1" x14ac:dyDescent="0.25">
      <c r="A675" s="131">
        <v>1</v>
      </c>
      <c r="B675" s="136" t="s">
        <v>227</v>
      </c>
      <c r="C675" s="447" t="s">
        <v>325</v>
      </c>
      <c r="D675" s="456"/>
      <c r="E675" s="458"/>
      <c r="F675" s="459"/>
      <c r="G675" s="459"/>
      <c r="H675" s="457"/>
    </row>
    <row r="676" spans="1:8" s="182" customFormat="1" hidden="1" x14ac:dyDescent="0.25">
      <c r="A676" s="131"/>
      <c r="B676" s="136" t="s">
        <v>227</v>
      </c>
      <c r="C676" s="12" t="s">
        <v>98</v>
      </c>
      <c r="D676" s="41"/>
      <c r="E676" s="130"/>
      <c r="F676" s="223"/>
      <c r="G676" s="28"/>
      <c r="H676" s="227"/>
    </row>
    <row r="677" spans="1:8" s="182" customFormat="1" hidden="1" x14ac:dyDescent="0.25">
      <c r="A677" s="131"/>
      <c r="B677" s="136" t="s">
        <v>227</v>
      </c>
      <c r="C677" s="14" t="s">
        <v>251</v>
      </c>
      <c r="D677" s="41"/>
      <c r="E677" s="146">
        <f>E679+E682+E683</f>
        <v>2600</v>
      </c>
      <c r="F677" s="223"/>
      <c r="G677" s="28"/>
      <c r="H677" s="227"/>
    </row>
    <row r="678" spans="1:8" s="182" customFormat="1" hidden="1" x14ac:dyDescent="0.25">
      <c r="A678" s="131"/>
      <c r="B678" s="136" t="s">
        <v>227</v>
      </c>
      <c r="C678" s="15" t="s">
        <v>252</v>
      </c>
      <c r="D678" s="41"/>
      <c r="E678" s="130"/>
      <c r="F678" s="223"/>
      <c r="G678" s="28"/>
      <c r="H678" s="227"/>
    </row>
    <row r="679" spans="1:8" s="182" customFormat="1" ht="30" hidden="1" x14ac:dyDescent="0.25">
      <c r="A679" s="131"/>
      <c r="B679" s="136" t="s">
        <v>227</v>
      </c>
      <c r="C679" s="16" t="s">
        <v>388</v>
      </c>
      <c r="D679" s="41"/>
      <c r="E679" s="130">
        <f>E680</f>
        <v>2000</v>
      </c>
      <c r="F679" s="223"/>
      <c r="G679" s="28"/>
      <c r="H679" s="227"/>
    </row>
    <row r="680" spans="1:8" s="145" customFormat="1" hidden="1" x14ac:dyDescent="0.25">
      <c r="A680" s="131"/>
      <c r="B680" s="136" t="s">
        <v>227</v>
      </c>
      <c r="C680" s="15" t="s">
        <v>389</v>
      </c>
      <c r="D680" s="13"/>
      <c r="E680" s="130">
        <v>2000</v>
      </c>
      <c r="F680" s="10"/>
      <c r="G680" s="10"/>
      <c r="H680" s="10"/>
    </row>
    <row r="681" spans="1:8" s="182" customFormat="1" ht="45" hidden="1" x14ac:dyDescent="0.25">
      <c r="A681" s="131"/>
      <c r="B681" s="136" t="s">
        <v>227</v>
      </c>
      <c r="C681" s="15" t="s">
        <v>391</v>
      </c>
      <c r="D681" s="41"/>
      <c r="E681" s="130"/>
      <c r="F681" s="223"/>
      <c r="G681" s="28"/>
      <c r="H681" s="227"/>
    </row>
    <row r="682" spans="1:8" s="182" customFormat="1" ht="60" hidden="1" x14ac:dyDescent="0.25">
      <c r="A682" s="131"/>
      <c r="B682" s="136" t="s">
        <v>227</v>
      </c>
      <c r="C682" s="15" t="s">
        <v>392</v>
      </c>
      <c r="D682" s="41"/>
      <c r="E682" s="130"/>
      <c r="F682" s="223"/>
      <c r="G682" s="28"/>
      <c r="H682" s="227"/>
    </row>
    <row r="683" spans="1:8" s="182" customFormat="1" ht="45" hidden="1" x14ac:dyDescent="0.25">
      <c r="A683" s="131"/>
      <c r="B683" s="136" t="s">
        <v>227</v>
      </c>
      <c r="C683" s="18" t="s">
        <v>393</v>
      </c>
      <c r="D683" s="41"/>
      <c r="E683" s="130">
        <v>600</v>
      </c>
      <c r="F683" s="223"/>
      <c r="G683" s="28"/>
      <c r="H683" s="227"/>
    </row>
    <row r="684" spans="1:8" s="182" customFormat="1" hidden="1" x14ac:dyDescent="0.25">
      <c r="A684" s="131"/>
      <c r="B684" s="136" t="s">
        <v>227</v>
      </c>
      <c r="C684" s="14" t="s">
        <v>253</v>
      </c>
      <c r="D684" s="41"/>
      <c r="E684" s="130"/>
      <c r="F684" s="223"/>
      <c r="G684" s="28"/>
      <c r="H684" s="227"/>
    </row>
    <row r="685" spans="1:8" s="182" customFormat="1" ht="29.25" hidden="1" x14ac:dyDescent="0.25">
      <c r="A685" s="131">
        <v>1</v>
      </c>
      <c r="B685" s="136" t="s">
        <v>227</v>
      </c>
      <c r="C685" s="14" t="s">
        <v>256</v>
      </c>
      <c r="D685" s="13"/>
      <c r="E685" s="130">
        <f>E686</f>
        <v>0</v>
      </c>
      <c r="F685" s="223"/>
      <c r="G685" s="28"/>
      <c r="H685" s="227"/>
    </row>
    <row r="686" spans="1:8" s="182" customFormat="1" ht="30" hidden="1" x14ac:dyDescent="0.25">
      <c r="A686" s="131">
        <v>1</v>
      </c>
      <c r="B686" s="136" t="s">
        <v>227</v>
      </c>
      <c r="C686" s="19" t="s">
        <v>117</v>
      </c>
      <c r="D686" s="13"/>
      <c r="E686" s="240"/>
      <c r="F686" s="223"/>
      <c r="G686" s="28"/>
      <c r="H686" s="227"/>
    </row>
    <row r="687" spans="1:8" s="182" customFormat="1" ht="57.75" hidden="1" x14ac:dyDescent="0.25">
      <c r="A687" s="131">
        <v>1</v>
      </c>
      <c r="B687" s="136" t="s">
        <v>227</v>
      </c>
      <c r="C687" s="14" t="s">
        <v>257</v>
      </c>
      <c r="D687" s="13"/>
      <c r="E687" s="130"/>
      <c r="F687" s="223"/>
      <c r="G687" s="28"/>
      <c r="H687" s="227"/>
    </row>
    <row r="688" spans="1:8" s="182" customFormat="1" hidden="1" x14ac:dyDescent="0.25">
      <c r="A688" s="131"/>
      <c r="B688" s="136" t="s">
        <v>227</v>
      </c>
      <c r="C688" s="21" t="s">
        <v>195</v>
      </c>
      <c r="D688" s="13"/>
      <c r="E688" s="146">
        <f>E677</f>
        <v>2600</v>
      </c>
      <c r="F688" s="223"/>
      <c r="G688" s="28"/>
      <c r="H688" s="227"/>
    </row>
    <row r="689" spans="1:8" s="182" customFormat="1" hidden="1" x14ac:dyDescent="0.25">
      <c r="A689" s="131"/>
      <c r="B689" s="136" t="s">
        <v>227</v>
      </c>
      <c r="C689" s="21" t="s">
        <v>197</v>
      </c>
      <c r="D689" s="13"/>
      <c r="E689" s="130"/>
      <c r="F689" s="223"/>
      <c r="G689" s="28"/>
      <c r="H689" s="227"/>
    </row>
    <row r="690" spans="1:8" s="182" customFormat="1" ht="29.25" hidden="1" x14ac:dyDescent="0.25">
      <c r="A690" s="131"/>
      <c r="B690" s="136" t="s">
        <v>227</v>
      </c>
      <c r="C690" s="21" t="s">
        <v>198</v>
      </c>
      <c r="D690" s="13"/>
      <c r="E690" s="130"/>
      <c r="F690" s="223"/>
      <c r="G690" s="28"/>
      <c r="H690" s="227"/>
    </row>
    <row r="691" spans="1:8" s="182" customFormat="1" hidden="1" x14ac:dyDescent="0.25">
      <c r="A691" s="131"/>
      <c r="B691" s="136" t="s">
        <v>227</v>
      </c>
      <c r="C691" s="22" t="s">
        <v>112</v>
      </c>
      <c r="D691" s="13"/>
      <c r="E691" s="216">
        <f>E688</f>
        <v>2600</v>
      </c>
      <c r="F691" s="223"/>
      <c r="G691" s="28"/>
      <c r="H691" s="39"/>
    </row>
    <row r="692" spans="1:8" s="182" customFormat="1" ht="15.75" hidden="1" x14ac:dyDescent="0.25">
      <c r="A692" s="131">
        <v>1</v>
      </c>
      <c r="B692" s="136" t="s">
        <v>227</v>
      </c>
      <c r="C692" s="23" t="s">
        <v>7</v>
      </c>
      <c r="D692" s="18"/>
      <c r="E692" s="304"/>
      <c r="F692" s="18"/>
      <c r="G692" s="18"/>
      <c r="H692" s="18"/>
    </row>
    <row r="693" spans="1:8" s="182" customFormat="1" ht="18" hidden="1" customHeight="1" x14ac:dyDescent="0.25">
      <c r="A693" s="131">
        <v>1</v>
      </c>
      <c r="B693" s="136" t="s">
        <v>227</v>
      </c>
      <c r="C693" s="40" t="s">
        <v>93</v>
      </c>
      <c r="D693" s="18"/>
      <c r="E693" s="305"/>
      <c r="F693" s="18"/>
      <c r="G693" s="306"/>
      <c r="H693" s="306"/>
    </row>
    <row r="694" spans="1:8" s="182" customFormat="1" ht="18.75" hidden="1" customHeight="1" x14ac:dyDescent="0.25">
      <c r="A694" s="131">
        <v>1</v>
      </c>
      <c r="B694" s="136" t="s">
        <v>227</v>
      </c>
      <c r="C694" s="25" t="s">
        <v>24</v>
      </c>
      <c r="D694" s="24">
        <v>240</v>
      </c>
      <c r="E694" s="130"/>
      <c r="F694" s="307">
        <v>9.6999999999999993</v>
      </c>
      <c r="G694" s="2">
        <f>ROUND(H694/D694,0)</f>
        <v>0</v>
      </c>
      <c r="H694" s="39">
        <f>ROUND(E694*F694,0)</f>
        <v>0</v>
      </c>
    </row>
    <row r="695" spans="1:8" s="182" customFormat="1" ht="18" hidden="1" customHeight="1" x14ac:dyDescent="0.25">
      <c r="A695" s="131">
        <v>1</v>
      </c>
      <c r="B695" s="136" t="s">
        <v>227</v>
      </c>
      <c r="C695" s="154" t="s">
        <v>9</v>
      </c>
      <c r="D695" s="139"/>
      <c r="E695" s="155">
        <f>SUM(E694)</f>
        <v>0</v>
      </c>
      <c r="F695" s="308"/>
      <c r="G695" s="31">
        <f t="shared" ref="G695:H696" si="21">G694</f>
        <v>0</v>
      </c>
      <c r="H695" s="31">
        <f t="shared" si="21"/>
        <v>0</v>
      </c>
    </row>
    <row r="696" spans="1:8" s="182" customFormat="1" ht="19.5" hidden="1" customHeight="1" thickBot="1" x14ac:dyDescent="0.3">
      <c r="A696" s="131">
        <v>1</v>
      </c>
      <c r="B696" s="136" t="s">
        <v>227</v>
      </c>
      <c r="C696" s="309" t="s">
        <v>88</v>
      </c>
      <c r="D696" s="139"/>
      <c r="E696" s="183">
        <f>E695</f>
        <v>0</v>
      </c>
      <c r="F696" s="310"/>
      <c r="G696" s="29">
        <f t="shared" si="21"/>
        <v>0</v>
      </c>
      <c r="H696" s="311">
        <f t="shared" si="21"/>
        <v>0</v>
      </c>
    </row>
    <row r="697" spans="1:8" s="182" customFormat="1" ht="17.25" hidden="1" customHeight="1" thickBot="1" x14ac:dyDescent="0.3">
      <c r="A697" s="131">
        <v>1</v>
      </c>
      <c r="B697" s="136" t="s">
        <v>227</v>
      </c>
      <c r="C697" s="247" t="s">
        <v>213</v>
      </c>
      <c r="D697" s="312"/>
      <c r="E697" s="313"/>
      <c r="F697" s="314"/>
      <c r="G697" s="314"/>
      <c r="H697" s="314"/>
    </row>
    <row r="698" spans="1:8" s="182" customFormat="1" ht="31.5" hidden="1" customHeight="1" x14ac:dyDescent="0.25">
      <c r="A698" s="131">
        <v>1</v>
      </c>
      <c r="B698" s="136" t="s">
        <v>228</v>
      </c>
      <c r="C698" s="774" t="s">
        <v>326</v>
      </c>
      <c r="D698" s="775"/>
      <c r="E698" s="315"/>
      <c r="F698" s="316"/>
      <c r="G698" s="316"/>
      <c r="H698" s="316"/>
    </row>
    <row r="699" spans="1:8" s="182" customFormat="1" ht="31.5" hidden="1" customHeight="1" x14ac:dyDescent="0.25">
      <c r="A699" s="131">
        <v>1</v>
      </c>
      <c r="B699" s="136" t="s">
        <v>228</v>
      </c>
      <c r="C699" s="425" t="s">
        <v>103</v>
      </c>
      <c r="D699" s="186"/>
      <c r="E699" s="317">
        <v>2015</v>
      </c>
      <c r="F699" s="144"/>
      <c r="G699" s="38"/>
      <c r="H699" s="38"/>
    </row>
    <row r="700" spans="1:8" s="182" customFormat="1" ht="31.5" hidden="1" customHeight="1" x14ac:dyDescent="0.25">
      <c r="A700" s="131">
        <v>1</v>
      </c>
      <c r="B700" s="136" t="s">
        <v>228</v>
      </c>
      <c r="C700" s="27" t="s">
        <v>104</v>
      </c>
      <c r="D700" s="144"/>
      <c r="E700" s="317">
        <v>11934</v>
      </c>
      <c r="F700" s="144"/>
      <c r="G700" s="38"/>
      <c r="H700" s="38"/>
    </row>
    <row r="701" spans="1:8" s="182" customFormat="1" ht="19.5" hidden="1" customHeight="1" x14ac:dyDescent="0.25">
      <c r="A701" s="131">
        <v>1</v>
      </c>
      <c r="B701" s="136" t="s">
        <v>228</v>
      </c>
      <c r="C701" s="27" t="s">
        <v>114</v>
      </c>
      <c r="D701" s="144"/>
      <c r="E701" s="317">
        <v>559</v>
      </c>
      <c r="F701" s="144"/>
      <c r="G701" s="38"/>
      <c r="H701" s="38"/>
    </row>
    <row r="702" spans="1:8" s="182" customFormat="1" ht="15.75" hidden="1" thickBot="1" x14ac:dyDescent="0.3">
      <c r="A702" s="131"/>
      <c r="B702" s="136" t="s">
        <v>228</v>
      </c>
      <c r="C702" s="162" t="s">
        <v>166</v>
      </c>
      <c r="D702" s="192"/>
      <c r="E702" s="318">
        <v>14508</v>
      </c>
      <c r="F702" s="192"/>
      <c r="G702" s="319"/>
      <c r="H702" s="319"/>
    </row>
    <row r="703" spans="1:8" s="182" customFormat="1" ht="17.25" hidden="1" customHeight="1" thickBot="1" x14ac:dyDescent="0.3">
      <c r="A703" s="131">
        <v>1</v>
      </c>
      <c r="B703" s="136" t="s">
        <v>228</v>
      </c>
      <c r="C703" s="247" t="s">
        <v>213</v>
      </c>
      <c r="D703" s="312"/>
      <c r="E703" s="313"/>
      <c r="F703" s="314"/>
      <c r="G703" s="314"/>
      <c r="H703" s="314"/>
    </row>
    <row r="704" spans="1:8" ht="51" hidden="1" customHeight="1" x14ac:dyDescent="0.25">
      <c r="A704" s="131">
        <v>1</v>
      </c>
      <c r="B704" s="270" t="s">
        <v>229</v>
      </c>
      <c r="C704" s="447" t="s">
        <v>327</v>
      </c>
      <c r="D704" s="320"/>
      <c r="E704" s="321"/>
      <c r="F704" s="322"/>
      <c r="G704" s="322"/>
      <c r="H704" s="322"/>
    </row>
    <row r="705" spans="1:8" hidden="1" x14ac:dyDescent="0.25">
      <c r="A705" s="131">
        <v>1</v>
      </c>
      <c r="B705" s="270" t="s">
        <v>229</v>
      </c>
      <c r="C705" s="137" t="s">
        <v>4</v>
      </c>
      <c r="D705" s="139"/>
      <c r="E705" s="323"/>
      <c r="F705" s="282"/>
      <c r="G705" s="282"/>
      <c r="H705" s="282"/>
    </row>
    <row r="706" spans="1:8" hidden="1" x14ac:dyDescent="0.25">
      <c r="A706" s="131">
        <v>1</v>
      </c>
      <c r="B706" s="270" t="s">
        <v>229</v>
      </c>
      <c r="C706" s="324" t="s">
        <v>70</v>
      </c>
      <c r="D706" s="139">
        <v>340</v>
      </c>
      <c r="E706" s="323">
        <v>1411</v>
      </c>
      <c r="F706" s="140">
        <v>14.3</v>
      </c>
      <c r="G706" s="2">
        <f>ROUND(H706/D706,0)</f>
        <v>59</v>
      </c>
      <c r="H706" s="39">
        <f>ROUND(E706*F706,0)</f>
        <v>20177</v>
      </c>
    </row>
    <row r="707" spans="1:8" hidden="1" x14ac:dyDescent="0.25">
      <c r="A707" s="131">
        <v>1</v>
      </c>
      <c r="B707" s="270" t="s">
        <v>229</v>
      </c>
      <c r="C707" s="143" t="s">
        <v>5</v>
      </c>
      <c r="D707" s="139"/>
      <c r="E707" s="325">
        <f>SUM(E706)</f>
        <v>1411</v>
      </c>
      <c r="F707" s="325">
        <f>F706</f>
        <v>14.3</v>
      </c>
      <c r="G707" s="325">
        <f>G706</f>
        <v>59</v>
      </c>
      <c r="H707" s="325">
        <f>H706</f>
        <v>20177</v>
      </c>
    </row>
    <row r="708" spans="1:8" hidden="1" x14ac:dyDescent="0.25">
      <c r="B708" s="270" t="s">
        <v>229</v>
      </c>
      <c r="C708" s="326" t="s">
        <v>207</v>
      </c>
      <c r="D708" s="139"/>
      <c r="E708" s="325">
        <v>78</v>
      </c>
      <c r="F708" s="158"/>
      <c r="G708" s="229"/>
      <c r="H708" s="229"/>
    </row>
    <row r="709" spans="1:8" ht="15.75" hidden="1" customHeight="1" x14ac:dyDescent="0.25">
      <c r="A709" s="131">
        <v>1</v>
      </c>
      <c r="B709" s="270" t="s">
        <v>229</v>
      </c>
      <c r="C709" s="253" t="s">
        <v>111</v>
      </c>
      <c r="D709" s="139"/>
      <c r="E709" s="325"/>
      <c r="F709" s="327"/>
      <c r="G709" s="229"/>
      <c r="H709" s="229"/>
    </row>
    <row r="710" spans="1:8" ht="15.75" hidden="1" customHeight="1" x14ac:dyDescent="0.25">
      <c r="B710" s="270" t="s">
        <v>229</v>
      </c>
      <c r="C710" s="12" t="s">
        <v>98</v>
      </c>
      <c r="D710" s="139"/>
      <c r="E710" s="325"/>
      <c r="F710" s="327"/>
      <c r="G710" s="229"/>
      <c r="H710" s="229"/>
    </row>
    <row r="711" spans="1:8" ht="15.75" hidden="1" customHeight="1" x14ac:dyDescent="0.25">
      <c r="B711" s="270" t="s">
        <v>229</v>
      </c>
      <c r="C711" s="14" t="s">
        <v>251</v>
      </c>
      <c r="D711" s="139"/>
      <c r="E711" s="325">
        <f>E713+E716+E717</f>
        <v>7378</v>
      </c>
      <c r="F711" s="327"/>
      <c r="G711" s="229"/>
      <c r="H711" s="229"/>
    </row>
    <row r="712" spans="1:8" ht="15.75" hidden="1" customHeight="1" x14ac:dyDescent="0.25">
      <c r="B712" s="270" t="s">
        <v>229</v>
      </c>
      <c r="C712" s="15" t="s">
        <v>252</v>
      </c>
      <c r="D712" s="139"/>
      <c r="E712" s="325"/>
      <c r="F712" s="327"/>
      <c r="G712" s="229"/>
      <c r="H712" s="229"/>
    </row>
    <row r="713" spans="1:8" ht="30" hidden="1" x14ac:dyDescent="0.25">
      <c r="B713" s="270" t="s">
        <v>229</v>
      </c>
      <c r="C713" s="16" t="s">
        <v>388</v>
      </c>
      <c r="D713" s="139"/>
      <c r="E713" s="240">
        <f>E714</f>
        <v>5891</v>
      </c>
      <c r="F713" s="327"/>
      <c r="G713" s="229"/>
      <c r="H713" s="229"/>
    </row>
    <row r="714" spans="1:8" s="145" customFormat="1" hidden="1" x14ac:dyDescent="0.25">
      <c r="A714" s="131"/>
      <c r="B714" s="270" t="s">
        <v>229</v>
      </c>
      <c r="C714" s="15" t="s">
        <v>389</v>
      </c>
      <c r="D714" s="13"/>
      <c r="E714" s="240">
        <v>5891</v>
      </c>
      <c r="F714" s="10"/>
      <c r="G714" s="10"/>
      <c r="H714" s="10"/>
    </row>
    <row r="715" spans="1:8" ht="45" hidden="1" customHeight="1" x14ac:dyDescent="0.25">
      <c r="B715" s="270" t="s">
        <v>229</v>
      </c>
      <c r="C715" s="15" t="s">
        <v>391</v>
      </c>
      <c r="D715" s="139"/>
      <c r="E715" s="240"/>
      <c r="F715" s="327"/>
      <c r="G715" s="229"/>
      <c r="H715" s="229"/>
    </row>
    <row r="716" spans="1:8" ht="41.25" hidden="1" customHeight="1" x14ac:dyDescent="0.25">
      <c r="B716" s="270" t="s">
        <v>229</v>
      </c>
      <c r="C716" s="15" t="s">
        <v>392</v>
      </c>
      <c r="D716" s="139"/>
      <c r="E716" s="240"/>
      <c r="F716" s="327"/>
      <c r="G716" s="229"/>
      <c r="H716" s="229"/>
    </row>
    <row r="717" spans="1:8" ht="49.5" hidden="1" customHeight="1" x14ac:dyDescent="0.25">
      <c r="B717" s="270" t="s">
        <v>229</v>
      </c>
      <c r="C717" s="18" t="s">
        <v>393</v>
      </c>
      <c r="D717" s="139"/>
      <c r="E717" s="240">
        <v>1487</v>
      </c>
      <c r="F717" s="327"/>
      <c r="G717" s="229"/>
      <c r="H717" s="229"/>
    </row>
    <row r="718" spans="1:8" ht="15.75" hidden="1" customHeight="1" x14ac:dyDescent="0.25">
      <c r="B718" s="270" t="s">
        <v>229</v>
      </c>
      <c r="C718" s="14" t="s">
        <v>253</v>
      </c>
      <c r="D718" s="139"/>
      <c r="E718" s="325">
        <f>E719</f>
        <v>25480</v>
      </c>
      <c r="F718" s="327"/>
      <c r="G718" s="229"/>
      <c r="H718" s="229"/>
    </row>
    <row r="719" spans="1:8" ht="15.75" hidden="1" customHeight="1" x14ac:dyDescent="0.25">
      <c r="B719" s="270"/>
      <c r="C719" s="14" t="s">
        <v>254</v>
      </c>
      <c r="D719" s="139"/>
      <c r="E719" s="325">
        <v>25480</v>
      </c>
      <c r="F719" s="327"/>
      <c r="G719" s="229"/>
      <c r="H719" s="229"/>
    </row>
    <row r="720" spans="1:8" ht="33" hidden="1" customHeight="1" x14ac:dyDescent="0.25">
      <c r="A720" s="131">
        <v>1</v>
      </c>
      <c r="B720" s="270" t="s">
        <v>229</v>
      </c>
      <c r="C720" s="14" t="s">
        <v>256</v>
      </c>
      <c r="D720" s="139"/>
      <c r="E720" s="240">
        <f>E721</f>
        <v>0</v>
      </c>
      <c r="F720" s="327"/>
      <c r="G720" s="229"/>
      <c r="H720" s="229"/>
    </row>
    <row r="721" spans="1:8" ht="30" hidden="1" customHeight="1" x14ac:dyDescent="0.25">
      <c r="A721" s="131">
        <v>1</v>
      </c>
      <c r="B721" s="270" t="s">
        <v>229</v>
      </c>
      <c r="C721" s="19" t="s">
        <v>117</v>
      </c>
      <c r="D721" s="139"/>
      <c r="E721" s="240"/>
      <c r="F721" s="327"/>
      <c r="G721" s="229"/>
      <c r="H721" s="229"/>
    </row>
    <row r="722" spans="1:8" ht="60" hidden="1" customHeight="1" x14ac:dyDescent="0.25">
      <c r="A722" s="131">
        <v>1</v>
      </c>
      <c r="B722" s="270" t="s">
        <v>229</v>
      </c>
      <c r="C722" s="14" t="s">
        <v>257</v>
      </c>
      <c r="D722" s="139"/>
      <c r="E722" s="240"/>
      <c r="F722" s="327"/>
      <c r="G722" s="229"/>
      <c r="H722" s="229"/>
    </row>
    <row r="723" spans="1:8" hidden="1" x14ac:dyDescent="0.25">
      <c r="B723" s="270"/>
      <c r="C723" s="14" t="s">
        <v>91</v>
      </c>
      <c r="D723" s="139"/>
      <c r="E723" s="325">
        <f>SUM(E724)</f>
        <v>23000</v>
      </c>
      <c r="F723" s="327"/>
      <c r="G723" s="229"/>
      <c r="H723" s="229"/>
    </row>
    <row r="724" spans="1:8" ht="45" hidden="1" x14ac:dyDescent="0.25">
      <c r="B724" s="270"/>
      <c r="C724" s="15" t="s">
        <v>242</v>
      </c>
      <c r="D724" s="139"/>
      <c r="E724" s="240">
        <v>23000</v>
      </c>
      <c r="F724" s="327"/>
      <c r="G724" s="229"/>
      <c r="H724" s="229"/>
    </row>
    <row r="725" spans="1:8" hidden="1" x14ac:dyDescent="0.25">
      <c r="B725" s="270" t="s">
        <v>229</v>
      </c>
      <c r="C725" s="21" t="s">
        <v>195</v>
      </c>
      <c r="D725" s="139"/>
      <c r="E725" s="325">
        <f>E711</f>
        <v>7378</v>
      </c>
      <c r="F725" s="327"/>
      <c r="G725" s="229"/>
      <c r="H725" s="229"/>
    </row>
    <row r="726" spans="1:8" hidden="1" x14ac:dyDescent="0.25">
      <c r="B726" s="270" t="s">
        <v>229</v>
      </c>
      <c r="C726" s="21" t="s">
        <v>197</v>
      </c>
      <c r="D726" s="139"/>
      <c r="E726" s="325">
        <f>E718</f>
        <v>25480</v>
      </c>
      <c r="F726" s="327"/>
      <c r="G726" s="229"/>
      <c r="H726" s="229"/>
    </row>
    <row r="727" spans="1:8" ht="29.25" hidden="1" x14ac:dyDescent="0.25">
      <c r="B727" s="270" t="s">
        <v>229</v>
      </c>
      <c r="C727" s="48" t="s">
        <v>198</v>
      </c>
      <c r="D727" s="200"/>
      <c r="E727" s="328"/>
      <c r="F727" s="329"/>
      <c r="G727" s="330"/>
      <c r="H727" s="330"/>
    </row>
    <row r="728" spans="1:8" hidden="1" x14ac:dyDescent="0.25">
      <c r="B728" s="270" t="s">
        <v>229</v>
      </c>
      <c r="C728" s="331" t="s">
        <v>112</v>
      </c>
      <c r="D728" s="139"/>
      <c r="E728" s="325">
        <f>E726*4.2+E725</f>
        <v>114394</v>
      </c>
      <c r="F728" s="327"/>
      <c r="G728" s="229"/>
      <c r="H728" s="332"/>
    </row>
    <row r="729" spans="1:8" hidden="1" x14ac:dyDescent="0.25">
      <c r="A729" s="131">
        <v>1</v>
      </c>
      <c r="B729" s="270" t="s">
        <v>229</v>
      </c>
      <c r="C729" s="333" t="s">
        <v>7</v>
      </c>
      <c r="D729" s="320"/>
      <c r="E729" s="321"/>
      <c r="F729" s="320"/>
      <c r="G729" s="320"/>
      <c r="H729" s="322"/>
    </row>
    <row r="730" spans="1:8" hidden="1" x14ac:dyDescent="0.25">
      <c r="A730" s="131">
        <v>1</v>
      </c>
      <c r="B730" s="270" t="s">
        <v>229</v>
      </c>
      <c r="C730" s="40" t="s">
        <v>93</v>
      </c>
      <c r="D730" s="139"/>
      <c r="E730" s="323"/>
      <c r="F730" s="139"/>
      <c r="G730" s="139"/>
      <c r="H730" s="282"/>
    </row>
    <row r="731" spans="1:8" hidden="1" x14ac:dyDescent="0.25">
      <c r="A731" s="131">
        <v>1</v>
      </c>
      <c r="B731" s="270" t="s">
        <v>229</v>
      </c>
      <c r="C731" s="324" t="s">
        <v>70</v>
      </c>
      <c r="D731" s="139">
        <v>300</v>
      </c>
      <c r="E731" s="323">
        <v>172</v>
      </c>
      <c r="F731" s="140">
        <v>14</v>
      </c>
      <c r="G731" s="2">
        <f>ROUND(H731/D731,0)</f>
        <v>8</v>
      </c>
      <c r="H731" s="39">
        <f>ROUND(E731*F731,0)</f>
        <v>2408</v>
      </c>
    </row>
    <row r="732" spans="1:8" ht="16.5" hidden="1" customHeight="1" x14ac:dyDescent="0.25">
      <c r="A732" s="131">
        <v>1</v>
      </c>
      <c r="B732" s="270" t="s">
        <v>229</v>
      </c>
      <c r="C732" s="334" t="s">
        <v>9</v>
      </c>
      <c r="D732" s="139"/>
      <c r="E732" s="284">
        <f>SUM(E731)</f>
        <v>172</v>
      </c>
      <c r="F732" s="335">
        <f>H732/E732</f>
        <v>14</v>
      </c>
      <c r="G732" s="285">
        <f>G731</f>
        <v>8</v>
      </c>
      <c r="H732" s="285">
        <f>H731</f>
        <v>2408</v>
      </c>
    </row>
    <row r="733" spans="1:8" hidden="1" x14ac:dyDescent="0.25">
      <c r="A733" s="131">
        <v>1</v>
      </c>
      <c r="B733" s="270" t="s">
        <v>229</v>
      </c>
      <c r="C733" s="40" t="s">
        <v>18</v>
      </c>
      <c r="D733" s="139"/>
      <c r="E733" s="284"/>
      <c r="F733" s="335"/>
      <c r="G733" s="285"/>
      <c r="H733" s="285"/>
    </row>
    <row r="734" spans="1:8" hidden="1" x14ac:dyDescent="0.25">
      <c r="A734" s="131">
        <v>1</v>
      </c>
      <c r="B734" s="270" t="s">
        <v>229</v>
      </c>
      <c r="C734" s="25" t="s">
        <v>70</v>
      </c>
      <c r="D734" s="336">
        <v>240</v>
      </c>
      <c r="E734" s="130">
        <v>900</v>
      </c>
      <c r="F734" s="337">
        <v>8</v>
      </c>
      <c r="G734" s="2">
        <f>ROUND(H734/D734,0)</f>
        <v>30</v>
      </c>
      <c r="H734" s="39">
        <f>ROUND(E734*F734,0)</f>
        <v>7200</v>
      </c>
    </row>
    <row r="735" spans="1:8" ht="17.25" hidden="1" customHeight="1" x14ac:dyDescent="0.25">
      <c r="A735" s="131">
        <v>1</v>
      </c>
      <c r="B735" s="270" t="s">
        <v>229</v>
      </c>
      <c r="C735" s="154" t="s">
        <v>94</v>
      </c>
      <c r="D735" s="139"/>
      <c r="E735" s="284">
        <f>SUM(E734)</f>
        <v>900</v>
      </c>
      <c r="F735" s="327">
        <f t="shared" ref="F735:H735" si="22">F734</f>
        <v>8</v>
      </c>
      <c r="G735" s="285">
        <f t="shared" si="22"/>
        <v>30</v>
      </c>
      <c r="H735" s="285">
        <f t="shared" si="22"/>
        <v>7200</v>
      </c>
    </row>
    <row r="736" spans="1:8" ht="19.5" hidden="1" customHeight="1" thickBot="1" x14ac:dyDescent="0.3">
      <c r="A736" s="131">
        <v>1</v>
      </c>
      <c r="B736" s="270" t="s">
        <v>229</v>
      </c>
      <c r="C736" s="26" t="s">
        <v>88</v>
      </c>
      <c r="D736" s="139"/>
      <c r="E736" s="284">
        <f>E732+E735</f>
        <v>1072</v>
      </c>
      <c r="F736" s="327">
        <f>H736/E736</f>
        <v>8.9626865671641784</v>
      </c>
      <c r="G736" s="285">
        <f>G732+G735</f>
        <v>38</v>
      </c>
      <c r="H736" s="285">
        <f>H732+H735</f>
        <v>9608</v>
      </c>
    </row>
    <row r="737" spans="1:8" ht="15" hidden="1" customHeight="1" thickBot="1" x14ac:dyDescent="0.3">
      <c r="A737" s="131">
        <v>1</v>
      </c>
      <c r="B737" s="270" t="s">
        <v>229</v>
      </c>
      <c r="C737" s="247" t="s">
        <v>213</v>
      </c>
      <c r="D737" s="169"/>
      <c r="E737" s="205"/>
      <c r="F737" s="171"/>
      <c r="G737" s="171"/>
      <c r="H737" s="171"/>
    </row>
    <row r="738" spans="1:8" ht="44.25" hidden="1" customHeight="1" x14ac:dyDescent="0.25">
      <c r="A738" s="131">
        <v>1</v>
      </c>
      <c r="B738" s="136" t="s">
        <v>230</v>
      </c>
      <c r="C738" s="703" t="s">
        <v>328</v>
      </c>
      <c r="D738" s="427"/>
      <c r="E738" s="447"/>
      <c r="F738" s="427"/>
      <c r="G738" s="447"/>
      <c r="H738" s="282"/>
    </row>
    <row r="739" spans="1:8" hidden="1" x14ac:dyDescent="0.25">
      <c r="A739" s="131">
        <v>1</v>
      </c>
      <c r="B739" s="136" t="s">
        <v>230</v>
      </c>
      <c r="C739" s="253" t="s">
        <v>6</v>
      </c>
      <c r="D739" s="442"/>
      <c r="E739" s="323"/>
      <c r="F739" s="448"/>
      <c r="G739" s="282"/>
      <c r="H739" s="282"/>
    </row>
    <row r="740" spans="1:8" ht="15" hidden="1" customHeight="1" x14ac:dyDescent="0.25">
      <c r="A740" s="131">
        <v>1</v>
      </c>
      <c r="B740" s="136" t="s">
        <v>230</v>
      </c>
      <c r="C740" s="704" t="s">
        <v>91</v>
      </c>
      <c r="D740" s="442"/>
      <c r="E740" s="284">
        <f>SUM(E741:E745)</f>
        <v>96650</v>
      </c>
      <c r="F740" s="448"/>
      <c r="G740" s="282"/>
      <c r="H740" s="282"/>
    </row>
    <row r="741" spans="1:8" s="340" customFormat="1" hidden="1" x14ac:dyDescent="0.25">
      <c r="A741" s="131">
        <v>1</v>
      </c>
      <c r="B741" s="136" t="s">
        <v>230</v>
      </c>
      <c r="C741" s="25" t="s">
        <v>53</v>
      </c>
      <c r="D741" s="443"/>
      <c r="E741" s="338">
        <v>30000</v>
      </c>
      <c r="F741" s="449"/>
      <c r="G741" s="339"/>
      <c r="H741" s="339"/>
    </row>
    <row r="742" spans="1:8" s="340" customFormat="1" ht="30" hidden="1" customHeight="1" x14ac:dyDescent="0.25">
      <c r="A742" s="131">
        <v>1</v>
      </c>
      <c r="B742" s="136" t="s">
        <v>230</v>
      </c>
      <c r="C742" s="341" t="s">
        <v>126</v>
      </c>
      <c r="D742" s="443"/>
      <c r="E742" s="338">
        <v>12600</v>
      </c>
      <c r="F742" s="449"/>
      <c r="G742" s="339"/>
      <c r="H742" s="339"/>
    </row>
    <row r="743" spans="1:8" s="340" customFormat="1" ht="46.5" hidden="1" customHeight="1" x14ac:dyDescent="0.25">
      <c r="A743" s="131"/>
      <c r="B743" s="136" t="s">
        <v>230</v>
      </c>
      <c r="C743" s="341" t="s">
        <v>242</v>
      </c>
      <c r="D743" s="443"/>
      <c r="E743" s="338">
        <v>52100</v>
      </c>
      <c r="F743" s="449"/>
      <c r="G743" s="339"/>
      <c r="H743" s="339"/>
    </row>
    <row r="744" spans="1:8" s="340" customFormat="1" hidden="1" x14ac:dyDescent="0.25">
      <c r="A744" s="131">
        <v>1</v>
      </c>
      <c r="B744" s="136" t="s">
        <v>230</v>
      </c>
      <c r="C744" s="25" t="s">
        <v>149</v>
      </c>
      <c r="D744" s="443"/>
      <c r="E744" s="338">
        <v>1600</v>
      </c>
      <c r="F744" s="449"/>
      <c r="G744" s="339"/>
      <c r="H744" s="339"/>
    </row>
    <row r="745" spans="1:8" s="340" customFormat="1" ht="18.75" hidden="1" customHeight="1" x14ac:dyDescent="0.25">
      <c r="A745" s="131"/>
      <c r="B745" s="136"/>
      <c r="C745" s="341" t="s">
        <v>138</v>
      </c>
      <c r="D745" s="443"/>
      <c r="E745" s="338">
        <v>350</v>
      </c>
      <c r="F745" s="449"/>
      <c r="G745" s="339"/>
      <c r="H745" s="339"/>
    </row>
    <row r="746" spans="1:8" s="340" customFormat="1" ht="16.5" hidden="1" customHeight="1" x14ac:dyDescent="0.25">
      <c r="A746" s="131"/>
      <c r="B746" s="136" t="s">
        <v>230</v>
      </c>
      <c r="C746" s="342" t="s">
        <v>112</v>
      </c>
      <c r="D746" s="444"/>
      <c r="E746" s="343"/>
      <c r="F746" s="449"/>
      <c r="G746" s="339"/>
      <c r="H746" s="339"/>
    </row>
    <row r="747" spans="1:8" s="340" customFormat="1" hidden="1" x14ac:dyDescent="0.25">
      <c r="A747" s="131"/>
      <c r="B747" s="136" t="s">
        <v>230</v>
      </c>
      <c r="C747" s="30" t="s">
        <v>7</v>
      </c>
      <c r="D747" s="443"/>
      <c r="E747" s="338"/>
      <c r="F747" s="450"/>
      <c r="G747" s="344"/>
      <c r="H747" s="339"/>
    </row>
    <row r="748" spans="1:8" s="340" customFormat="1" hidden="1" x14ac:dyDescent="0.25">
      <c r="A748" s="131"/>
      <c r="B748" s="136" t="s">
        <v>230</v>
      </c>
      <c r="C748" s="40" t="s">
        <v>18</v>
      </c>
      <c r="D748" s="443"/>
      <c r="E748" s="338"/>
      <c r="F748" s="451"/>
      <c r="G748" s="339"/>
      <c r="H748" s="344"/>
    </row>
    <row r="749" spans="1:8" s="340" customFormat="1" hidden="1" x14ac:dyDescent="0.25">
      <c r="A749" s="131"/>
      <c r="B749" s="136" t="s">
        <v>230</v>
      </c>
      <c r="C749" s="345" t="s">
        <v>184</v>
      </c>
      <c r="D749" s="445">
        <v>240</v>
      </c>
      <c r="E749" s="130">
        <v>199</v>
      </c>
      <c r="F749" s="452">
        <v>28</v>
      </c>
      <c r="G749" s="2">
        <f>ROUND(H749/D749,0)</f>
        <v>23</v>
      </c>
      <c r="H749" s="39">
        <f>ROUND(E749*F749,0)</f>
        <v>5572</v>
      </c>
    </row>
    <row r="750" spans="1:8" s="340" customFormat="1" hidden="1" x14ac:dyDescent="0.25">
      <c r="A750" s="131"/>
      <c r="B750" s="136" t="s">
        <v>230</v>
      </c>
      <c r="C750" s="154" t="s">
        <v>94</v>
      </c>
      <c r="D750" s="442"/>
      <c r="E750" s="284">
        <f>SUM(E749)</f>
        <v>199</v>
      </c>
      <c r="F750" s="453">
        <f>H750/E750</f>
        <v>28</v>
      </c>
      <c r="G750" s="285">
        <f>G749</f>
        <v>23</v>
      </c>
      <c r="H750" s="285">
        <f>H749</f>
        <v>5572</v>
      </c>
    </row>
    <row r="751" spans="1:8" s="340" customFormat="1" ht="30" hidden="1" thickBot="1" x14ac:dyDescent="0.3">
      <c r="A751" s="131"/>
      <c r="B751" s="136" t="s">
        <v>230</v>
      </c>
      <c r="C751" s="346" t="s">
        <v>88</v>
      </c>
      <c r="D751" s="446"/>
      <c r="E751" s="347">
        <f>E750</f>
        <v>199</v>
      </c>
      <c r="F751" s="454">
        <f t="shared" ref="F751:H751" si="23">F750</f>
        <v>28</v>
      </c>
      <c r="G751" s="455">
        <f t="shared" si="23"/>
        <v>23</v>
      </c>
      <c r="H751" s="348">
        <f t="shared" si="23"/>
        <v>5572</v>
      </c>
    </row>
    <row r="752" spans="1:8" ht="16.5" customHeight="1" x14ac:dyDescent="0.25">
      <c r="A752" s="131">
        <v>1</v>
      </c>
      <c r="C752" s="263"/>
      <c r="D752" s="349"/>
      <c r="E752" s="350"/>
      <c r="F752" s="351"/>
      <c r="G752" s="352"/>
      <c r="H752" s="353"/>
    </row>
    <row r="1402" spans="5:5" x14ac:dyDescent="0.25">
      <c r="E1402" s="142">
        <f>SUM(E910,E572,E744)</f>
        <v>4850</v>
      </c>
    </row>
  </sheetData>
  <sheetProtection selectLockedCells="1" selectUnlockedCells="1"/>
  <autoFilter ref="C8:H752"/>
  <sortState ref="C424:H463">
    <sortCondition ref="C424:C463"/>
  </sortState>
  <mergeCells count="9">
    <mergeCell ref="C698:D698"/>
    <mergeCell ref="G1:H1"/>
    <mergeCell ref="F2:H2"/>
    <mergeCell ref="C3:H4"/>
    <mergeCell ref="E5:E7"/>
    <mergeCell ref="G5:G7"/>
    <mergeCell ref="H5:H7"/>
    <mergeCell ref="D5:D7"/>
    <mergeCell ref="F5:F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1644"/>
  <sheetViews>
    <sheetView zoomScale="90" zoomScaleNormal="90" zoomScaleSheetLayoutView="85" workbookViewId="0">
      <pane xSplit="4" ySplit="7" topLeftCell="E1263" activePane="bottomRight" state="frozen"/>
      <selection activeCell="J30" sqref="J30"/>
      <selection pane="topRight" activeCell="J30" sqref="J30"/>
      <selection pane="bottomLeft" activeCell="J30" sqref="J30"/>
      <selection pane="bottomRight" activeCell="F1271" sqref="F1271"/>
    </sheetView>
  </sheetViews>
  <sheetFormatPr defaultColWidth="9.140625" defaultRowHeight="15" x14ac:dyDescent="0.25"/>
  <cols>
    <col min="1" max="1" width="5.28515625" style="50" hidden="1" customWidth="1"/>
    <col min="2" max="2" width="7.28515625" style="50" hidden="1" customWidth="1"/>
    <col min="3" max="3" width="48.140625" style="81" customWidth="1"/>
    <col min="4" max="4" width="11.140625" style="81" customWidth="1"/>
    <col min="5" max="5" width="14.28515625" style="81" customWidth="1"/>
    <col min="6" max="6" width="13.5703125" style="50" customWidth="1"/>
    <col min="7" max="7" width="13" style="50" customWidth="1"/>
    <col min="8" max="8" width="12.140625" style="50" customWidth="1"/>
    <col min="9" max="9" width="9.5703125" style="50" bestFit="1" customWidth="1"/>
    <col min="10" max="16384" width="9.140625" style="50"/>
  </cols>
  <sheetData>
    <row r="1" spans="1:9" s="354" customFormat="1" ht="15.75" customHeight="1" x14ac:dyDescent="0.25">
      <c r="A1" s="354">
        <v>1</v>
      </c>
      <c r="C1" s="49"/>
      <c r="D1" s="355"/>
      <c r="E1" s="355"/>
      <c r="F1" s="132"/>
      <c r="G1" s="776" t="s">
        <v>435</v>
      </c>
      <c r="H1" s="776"/>
    </row>
    <row r="2" spans="1:9" s="354" customFormat="1" ht="30.75" customHeight="1" x14ac:dyDescent="0.25">
      <c r="A2" s="354">
        <v>1</v>
      </c>
      <c r="C2" s="49"/>
      <c r="D2" s="355"/>
      <c r="E2" s="355"/>
      <c r="F2" s="777" t="s">
        <v>437</v>
      </c>
      <c r="G2" s="777"/>
      <c r="H2" s="777"/>
    </row>
    <row r="3" spans="1:9" s="354" customFormat="1" ht="15.75" x14ac:dyDescent="0.25">
      <c r="A3" s="354">
        <v>1</v>
      </c>
      <c r="C3" s="778" t="s">
        <v>337</v>
      </c>
      <c r="D3" s="779"/>
      <c r="E3" s="779"/>
      <c r="F3" s="779"/>
      <c r="G3" s="779"/>
      <c r="H3" s="779"/>
    </row>
    <row r="4" spans="1:9" ht="16.5" thickBot="1" x14ac:dyDescent="0.3">
      <c r="A4" s="354">
        <v>1</v>
      </c>
      <c r="C4" s="779"/>
      <c r="D4" s="779"/>
      <c r="E4" s="779"/>
      <c r="F4" s="779"/>
      <c r="G4" s="779"/>
      <c r="H4" s="779"/>
    </row>
    <row r="5" spans="1:9" ht="18.75" customHeight="1" x14ac:dyDescent="0.3">
      <c r="A5" s="354">
        <v>1</v>
      </c>
      <c r="C5" s="356" t="s">
        <v>109</v>
      </c>
      <c r="D5" s="783" t="s">
        <v>1</v>
      </c>
      <c r="E5" s="794" t="s">
        <v>144</v>
      </c>
      <c r="F5" s="789" t="s">
        <v>0</v>
      </c>
      <c r="G5" s="783" t="s">
        <v>2</v>
      </c>
      <c r="H5" s="786" t="s">
        <v>115</v>
      </c>
    </row>
    <row r="6" spans="1:9" ht="29.25" customHeight="1" x14ac:dyDescent="0.3">
      <c r="A6" s="354">
        <v>1</v>
      </c>
      <c r="C6" s="357"/>
      <c r="D6" s="784"/>
      <c r="E6" s="795"/>
      <c r="F6" s="790"/>
      <c r="G6" s="784"/>
      <c r="H6" s="787"/>
    </row>
    <row r="7" spans="1:9" ht="26.25" customHeight="1" thickBot="1" x14ac:dyDescent="0.3">
      <c r="A7" s="354">
        <v>1</v>
      </c>
      <c r="C7" s="358" t="s">
        <v>3</v>
      </c>
      <c r="D7" s="785"/>
      <c r="E7" s="796"/>
      <c r="F7" s="791"/>
      <c r="G7" s="785"/>
      <c r="H7" s="788"/>
    </row>
    <row r="8" spans="1:9" s="131" customFormat="1" ht="16.5" thickBot="1" x14ac:dyDescent="0.3">
      <c r="A8" s="354">
        <v>1</v>
      </c>
      <c r="C8" s="359">
        <v>1</v>
      </c>
      <c r="D8" s="8">
        <v>2</v>
      </c>
      <c r="E8" s="360"/>
      <c r="F8" s="135">
        <v>4</v>
      </c>
      <c r="G8" s="135">
        <v>5</v>
      </c>
      <c r="H8" s="135">
        <v>6</v>
      </c>
    </row>
    <row r="9" spans="1:9" s="131" customFormat="1" ht="15.75" hidden="1" customHeight="1" x14ac:dyDescent="0.25">
      <c r="A9" s="354">
        <v>1</v>
      </c>
      <c r="C9" s="470"/>
      <c r="D9" s="471"/>
      <c r="E9" s="472"/>
      <c r="F9" s="361"/>
      <c r="G9" s="361"/>
      <c r="H9" s="361"/>
    </row>
    <row r="10" spans="1:9" s="131" customFormat="1" ht="29.25" hidden="1" customHeight="1" x14ac:dyDescent="0.25">
      <c r="A10" s="354">
        <v>1</v>
      </c>
      <c r="B10" s="131">
        <v>1</v>
      </c>
      <c r="C10" s="686" t="s">
        <v>387</v>
      </c>
      <c r="D10" s="52"/>
      <c r="E10" s="537"/>
      <c r="F10" s="2"/>
      <c r="G10" s="2"/>
      <c r="H10" s="2"/>
    </row>
    <row r="11" spans="1:9" s="131" customFormat="1" ht="15.75" hidden="1" customHeight="1" x14ac:dyDescent="0.25">
      <c r="A11" s="354">
        <v>1</v>
      </c>
      <c r="B11" s="131">
        <f>B10+1</f>
        <v>2</v>
      </c>
      <c r="C11" s="499" t="s">
        <v>4</v>
      </c>
      <c r="D11" s="52"/>
      <c r="E11" s="537"/>
      <c r="F11" s="2"/>
      <c r="G11" s="2"/>
      <c r="H11" s="2"/>
    </row>
    <row r="12" spans="1:9" s="131" customFormat="1" ht="15.75" hidden="1" customHeight="1" x14ac:dyDescent="0.25">
      <c r="A12" s="354">
        <v>1</v>
      </c>
      <c r="B12" s="131">
        <f t="shared" ref="B12:B75" si="0">B11+1</f>
        <v>3</v>
      </c>
      <c r="C12" s="294" t="s">
        <v>25</v>
      </c>
      <c r="D12" s="52">
        <v>270</v>
      </c>
      <c r="E12" s="53"/>
      <c r="F12" s="47">
        <v>10</v>
      </c>
      <c r="G12" s="2">
        <f>ROUND(H12/D12,0)</f>
        <v>0</v>
      </c>
      <c r="H12" s="2">
        <f>ROUND(E12*F12,0)</f>
        <v>0</v>
      </c>
    </row>
    <row r="13" spans="1:9" s="131" customFormat="1" ht="15.75" hidden="1" customHeight="1" x14ac:dyDescent="0.25">
      <c r="A13" s="354">
        <v>1</v>
      </c>
      <c r="B13" s="131">
        <f t="shared" si="0"/>
        <v>4</v>
      </c>
      <c r="C13" s="500" t="s">
        <v>8</v>
      </c>
      <c r="D13" s="52">
        <v>340</v>
      </c>
      <c r="E13" s="53">
        <f>3240-16-2450</f>
        <v>774</v>
      </c>
      <c r="F13" s="47">
        <v>6.8</v>
      </c>
      <c r="G13" s="2">
        <f>ROUND(H13/D13,0)</f>
        <v>15</v>
      </c>
      <c r="H13" s="2">
        <f>ROUND(E13*F13,0)</f>
        <v>5263</v>
      </c>
    </row>
    <row r="14" spans="1:9" s="131" customFormat="1" ht="15.75" hidden="1" customHeight="1" x14ac:dyDescent="0.25">
      <c r="A14" s="354">
        <v>1</v>
      </c>
      <c r="B14" s="131">
        <f t="shared" si="0"/>
        <v>5</v>
      </c>
      <c r="C14" s="294" t="s">
        <v>77</v>
      </c>
      <c r="D14" s="52">
        <v>340</v>
      </c>
      <c r="E14" s="53">
        <f>1741-48-1412</f>
        <v>281</v>
      </c>
      <c r="F14" s="538">
        <v>6.8</v>
      </c>
      <c r="G14" s="2">
        <f>ROUND(H14/D14,0)</f>
        <v>6</v>
      </c>
      <c r="H14" s="2">
        <f>ROUND(E14*F14,0)</f>
        <v>1911</v>
      </c>
    </row>
    <row r="15" spans="1:9" s="131" customFormat="1" ht="15.75" hidden="1" customHeight="1" x14ac:dyDescent="0.25">
      <c r="A15" s="354">
        <v>1</v>
      </c>
      <c r="B15" s="131">
        <f t="shared" si="0"/>
        <v>6</v>
      </c>
      <c r="C15" s="526" t="s">
        <v>5</v>
      </c>
      <c r="D15" s="13"/>
      <c r="E15" s="508">
        <f>SUM(E13:E14)</f>
        <v>1055</v>
      </c>
      <c r="F15" s="158">
        <f>H15/E15</f>
        <v>6.8</v>
      </c>
      <c r="G15" s="29">
        <f>SUM(G12:G14)</f>
        <v>21</v>
      </c>
      <c r="H15" s="29">
        <f>SUM(H12:H14)</f>
        <v>7174</v>
      </c>
      <c r="I15" s="419">
        <f>E15-E16</f>
        <v>1039</v>
      </c>
    </row>
    <row r="16" spans="1:9" s="131" customFormat="1" ht="15.75" hidden="1" customHeight="1" x14ac:dyDescent="0.25">
      <c r="A16" s="354">
        <v>1</v>
      </c>
      <c r="B16" s="131">
        <f t="shared" si="0"/>
        <v>7</v>
      </c>
      <c r="C16" s="143" t="s">
        <v>207</v>
      </c>
      <c r="D16" s="13"/>
      <c r="E16" s="508">
        <v>16</v>
      </c>
      <c r="F16" s="158"/>
      <c r="G16" s="29"/>
      <c r="H16" s="29"/>
    </row>
    <row r="17" spans="1:8" s="131" customFormat="1" ht="15.75" hidden="1" customHeight="1" x14ac:dyDescent="0.25">
      <c r="A17" s="354">
        <v>1</v>
      </c>
      <c r="B17" s="131">
        <f t="shared" si="0"/>
        <v>8</v>
      </c>
      <c r="C17" s="473" t="s">
        <v>6</v>
      </c>
      <c r="D17" s="474"/>
      <c r="E17" s="475"/>
      <c r="F17" s="476"/>
      <c r="G17" s="477"/>
      <c r="H17" s="478"/>
    </row>
    <row r="18" spans="1:8" s="131" customFormat="1" ht="45" hidden="1" customHeight="1" x14ac:dyDescent="0.25">
      <c r="A18" s="354">
        <v>1</v>
      </c>
      <c r="B18" s="131">
        <f t="shared" si="0"/>
        <v>9</v>
      </c>
      <c r="C18" s="1" t="s">
        <v>259</v>
      </c>
      <c r="D18" s="474"/>
      <c r="E18" s="479">
        <v>1442</v>
      </c>
      <c r="F18" s="476"/>
      <c r="G18" s="477"/>
      <c r="H18" s="478"/>
    </row>
    <row r="19" spans="1:8" s="131" customFormat="1" ht="29.25" hidden="1" customHeight="1" x14ac:dyDescent="0.25">
      <c r="A19" s="354">
        <v>1</v>
      </c>
      <c r="B19" s="131">
        <f t="shared" si="0"/>
        <v>10</v>
      </c>
      <c r="C19" s="21" t="s">
        <v>198</v>
      </c>
      <c r="D19" s="474"/>
      <c r="E19" s="479">
        <f>E18</f>
        <v>1442</v>
      </c>
      <c r="F19" s="476"/>
      <c r="G19" s="477"/>
      <c r="H19" s="478"/>
    </row>
    <row r="20" spans="1:8" s="131" customFormat="1" ht="15.75" hidden="1" customHeight="1" x14ac:dyDescent="0.25">
      <c r="A20" s="354">
        <v>1</v>
      </c>
      <c r="B20" s="131">
        <f t="shared" si="0"/>
        <v>11</v>
      </c>
      <c r="C20" s="22" t="s">
        <v>112</v>
      </c>
      <c r="D20" s="474"/>
      <c r="E20" s="480">
        <f>E18</f>
        <v>1442</v>
      </c>
      <c r="F20" s="476"/>
      <c r="G20" s="477"/>
      <c r="H20" s="478"/>
    </row>
    <row r="21" spans="1:8" s="131" customFormat="1" ht="15.75" hidden="1" customHeight="1" x14ac:dyDescent="0.25">
      <c r="A21" s="354">
        <v>1</v>
      </c>
      <c r="B21" s="131">
        <f t="shared" si="0"/>
        <v>12</v>
      </c>
      <c r="C21" s="44" t="s">
        <v>7</v>
      </c>
      <c r="D21" s="362"/>
      <c r="E21" s="481"/>
      <c r="F21" s="482"/>
      <c r="G21" s="482"/>
      <c r="H21" s="482"/>
    </row>
    <row r="22" spans="1:8" s="131" customFormat="1" ht="15.75" hidden="1" customHeight="1" x14ac:dyDescent="0.25">
      <c r="A22" s="354">
        <v>1</v>
      </c>
      <c r="B22" s="131">
        <f t="shared" si="0"/>
        <v>13</v>
      </c>
      <c r="C22" s="293" t="s">
        <v>93</v>
      </c>
      <c r="D22" s="362"/>
      <c r="E22" s="481"/>
      <c r="F22" s="482"/>
      <c r="G22" s="482"/>
      <c r="H22" s="482"/>
    </row>
    <row r="23" spans="1:8" s="131" customFormat="1" ht="15.75" hidden="1" customHeight="1" x14ac:dyDescent="0.25">
      <c r="A23" s="354">
        <v>1</v>
      </c>
      <c r="B23" s="131">
        <f t="shared" si="0"/>
        <v>14</v>
      </c>
      <c r="C23" s="363" t="s">
        <v>8</v>
      </c>
      <c r="D23" s="362">
        <v>300</v>
      </c>
      <c r="E23" s="481">
        <v>121</v>
      </c>
      <c r="F23" s="364">
        <v>7</v>
      </c>
      <c r="G23" s="482">
        <f>ROUND(H23/D23,0)</f>
        <v>3</v>
      </c>
      <c r="H23" s="2">
        <f>ROUND(E23*F23,0)</f>
        <v>847</v>
      </c>
    </row>
    <row r="24" spans="1:8" s="131" customFormat="1" ht="15.75" hidden="1" customHeight="1" x14ac:dyDescent="0.25">
      <c r="A24" s="354">
        <v>1</v>
      </c>
      <c r="B24" s="131">
        <f t="shared" si="0"/>
        <v>15</v>
      </c>
      <c r="C24" s="363" t="s">
        <v>77</v>
      </c>
      <c r="D24" s="362">
        <v>300</v>
      </c>
      <c r="E24" s="481">
        <v>130</v>
      </c>
      <c r="F24" s="364">
        <v>7</v>
      </c>
      <c r="G24" s="482">
        <f>ROUND(H24/D24,0)</f>
        <v>3</v>
      </c>
      <c r="H24" s="2">
        <f>ROUND(E24*F24,0)</f>
        <v>910</v>
      </c>
    </row>
    <row r="25" spans="1:8" s="131" customFormat="1" ht="15.75" hidden="1" customHeight="1" x14ac:dyDescent="0.25">
      <c r="A25" s="354">
        <v>1</v>
      </c>
      <c r="B25" s="131">
        <f t="shared" si="0"/>
        <v>16</v>
      </c>
      <c r="C25" s="483" t="s">
        <v>9</v>
      </c>
      <c r="D25" s="362"/>
      <c r="E25" s="484">
        <f>SUM(E23:E24)</f>
        <v>251</v>
      </c>
      <c r="F25" s="158">
        <f>H25/E25</f>
        <v>7</v>
      </c>
      <c r="G25" s="485">
        <f>G23+G24</f>
        <v>6</v>
      </c>
      <c r="H25" s="485">
        <f>H23+H24</f>
        <v>1757</v>
      </c>
    </row>
    <row r="26" spans="1:8" s="131" customFormat="1" ht="15.75" hidden="1" customHeight="1" x14ac:dyDescent="0.25">
      <c r="A26" s="354">
        <v>1</v>
      </c>
      <c r="B26" s="131">
        <f t="shared" si="0"/>
        <v>17</v>
      </c>
      <c r="C26" s="486" t="s">
        <v>89</v>
      </c>
      <c r="D26" s="487"/>
      <c r="E26" s="484">
        <f>E25</f>
        <v>251</v>
      </c>
      <c r="F26" s="158">
        <f>H26/E26</f>
        <v>7</v>
      </c>
      <c r="G26" s="485">
        <f>G25</f>
        <v>6</v>
      </c>
      <c r="H26" s="485">
        <f>H25</f>
        <v>1757</v>
      </c>
    </row>
    <row r="27" spans="1:8" s="131" customFormat="1" ht="16.5" hidden="1" customHeight="1" thickBot="1" x14ac:dyDescent="0.3">
      <c r="A27" s="354">
        <v>1</v>
      </c>
      <c r="B27" s="131">
        <f t="shared" si="0"/>
        <v>18</v>
      </c>
      <c r="C27" s="488" t="s">
        <v>213</v>
      </c>
      <c r="D27" s="489"/>
      <c r="E27" s="490"/>
      <c r="F27" s="491"/>
      <c r="G27" s="491"/>
      <c r="H27" s="491"/>
    </row>
    <row r="28" spans="1:8" ht="15.75" hidden="1" customHeight="1" x14ac:dyDescent="0.25">
      <c r="A28" s="354">
        <v>1</v>
      </c>
      <c r="B28" s="131">
        <f t="shared" si="0"/>
        <v>19</v>
      </c>
      <c r="C28" s="492"/>
      <c r="D28" s="365"/>
      <c r="E28" s="493"/>
      <c r="F28" s="494"/>
      <c r="G28" s="494"/>
      <c r="H28" s="494"/>
    </row>
    <row r="29" spans="1:8" ht="50.25" customHeight="1" x14ac:dyDescent="0.25">
      <c r="A29" s="354">
        <v>1</v>
      </c>
      <c r="B29" s="131">
        <f t="shared" si="0"/>
        <v>20</v>
      </c>
      <c r="C29" s="686" t="s">
        <v>347</v>
      </c>
      <c r="D29" s="52"/>
      <c r="E29" s="53"/>
      <c r="F29" s="2"/>
      <c r="G29" s="2"/>
      <c r="H29" s="2"/>
    </row>
    <row r="30" spans="1:8" ht="15.75" customHeight="1" x14ac:dyDescent="0.25">
      <c r="A30" s="354">
        <v>1</v>
      </c>
      <c r="B30" s="131">
        <f t="shared" si="0"/>
        <v>21</v>
      </c>
      <c r="C30" s="499" t="s">
        <v>4</v>
      </c>
      <c r="D30" s="52"/>
      <c r="E30" s="53"/>
      <c r="F30" s="2"/>
      <c r="G30" s="2"/>
      <c r="H30" s="2"/>
    </row>
    <row r="31" spans="1:8" ht="15.75" customHeight="1" x14ac:dyDescent="0.25">
      <c r="A31" s="354">
        <v>1</v>
      </c>
      <c r="B31" s="131">
        <f t="shared" si="0"/>
        <v>22</v>
      </c>
      <c r="C31" s="500" t="s">
        <v>21</v>
      </c>
      <c r="D31" s="52">
        <v>340</v>
      </c>
      <c r="E31" s="53">
        <v>2198</v>
      </c>
      <c r="F31" s="47">
        <v>6.5</v>
      </c>
      <c r="G31" s="2">
        <f t="shared" ref="G31:G38" si="1">ROUND(H31/D31,0)</f>
        <v>42</v>
      </c>
      <c r="H31" s="2">
        <f t="shared" ref="H31:H38" si="2">ROUND(E31*F31,0)</f>
        <v>14287</v>
      </c>
    </row>
    <row r="32" spans="1:8" ht="15.75" customHeight="1" x14ac:dyDescent="0.25">
      <c r="A32" s="354">
        <v>1</v>
      </c>
      <c r="B32" s="131">
        <f t="shared" si="0"/>
        <v>23</v>
      </c>
      <c r="C32" s="500" t="s">
        <v>25</v>
      </c>
      <c r="D32" s="52">
        <v>270</v>
      </c>
      <c r="E32" s="53">
        <f>3240-331-169</f>
        <v>2740</v>
      </c>
      <c r="F32" s="47">
        <v>7.5</v>
      </c>
      <c r="G32" s="2">
        <f t="shared" si="1"/>
        <v>76</v>
      </c>
      <c r="H32" s="2">
        <f t="shared" si="2"/>
        <v>20550</v>
      </c>
    </row>
    <row r="33" spans="1:9" ht="15.75" customHeight="1" x14ac:dyDescent="0.25">
      <c r="A33" s="354">
        <v>1</v>
      </c>
      <c r="B33" s="131">
        <f t="shared" si="0"/>
        <v>24</v>
      </c>
      <c r="C33" s="500" t="s">
        <v>76</v>
      </c>
      <c r="D33" s="52">
        <v>340</v>
      </c>
      <c r="E33" s="53">
        <v>3026</v>
      </c>
      <c r="F33" s="47">
        <v>10</v>
      </c>
      <c r="G33" s="2">
        <f t="shared" si="1"/>
        <v>89</v>
      </c>
      <c r="H33" s="2">
        <f t="shared" si="2"/>
        <v>30260</v>
      </c>
    </row>
    <row r="34" spans="1:9" ht="15.75" customHeight="1" x14ac:dyDescent="0.25">
      <c r="A34" s="354">
        <v>1</v>
      </c>
      <c r="B34" s="131" t="e">
        <f>#REF!+1</f>
        <v>#REF!</v>
      </c>
      <c r="C34" s="500" t="s">
        <v>13</v>
      </c>
      <c r="D34" s="52">
        <v>340</v>
      </c>
      <c r="E34" s="53">
        <v>930</v>
      </c>
      <c r="F34" s="47">
        <v>12.8</v>
      </c>
      <c r="G34" s="2">
        <f t="shared" si="1"/>
        <v>35</v>
      </c>
      <c r="H34" s="2">
        <f t="shared" si="2"/>
        <v>11904</v>
      </c>
    </row>
    <row r="35" spans="1:9" ht="15.75" customHeight="1" x14ac:dyDescent="0.25">
      <c r="A35" s="354">
        <v>1</v>
      </c>
      <c r="B35" s="131" t="e">
        <f t="shared" si="0"/>
        <v>#REF!</v>
      </c>
      <c r="C35" s="500" t="s">
        <v>19</v>
      </c>
      <c r="D35" s="52">
        <v>340</v>
      </c>
      <c r="E35" s="53">
        <v>1947</v>
      </c>
      <c r="F35" s="47">
        <v>11</v>
      </c>
      <c r="G35" s="2">
        <f t="shared" si="1"/>
        <v>63</v>
      </c>
      <c r="H35" s="2">
        <f t="shared" si="2"/>
        <v>21417</v>
      </c>
    </row>
    <row r="36" spans="1:9" ht="15.75" customHeight="1" x14ac:dyDescent="0.25">
      <c r="A36" s="354">
        <v>1</v>
      </c>
      <c r="B36" s="131" t="e">
        <f t="shared" si="0"/>
        <v>#REF!</v>
      </c>
      <c r="C36" s="500" t="s">
        <v>14</v>
      </c>
      <c r="D36" s="52">
        <v>340</v>
      </c>
      <c r="E36" s="53">
        <v>1022</v>
      </c>
      <c r="F36" s="47">
        <v>5</v>
      </c>
      <c r="G36" s="2">
        <f t="shared" si="1"/>
        <v>15</v>
      </c>
      <c r="H36" s="2">
        <f t="shared" si="2"/>
        <v>5110</v>
      </c>
    </row>
    <row r="37" spans="1:9" ht="15.75" customHeight="1" x14ac:dyDescent="0.25">
      <c r="A37" s="354">
        <v>1</v>
      </c>
      <c r="B37" s="131" t="e">
        <f t="shared" si="0"/>
        <v>#REF!</v>
      </c>
      <c r="C37" s="500" t="s">
        <v>11</v>
      </c>
      <c r="D37" s="52">
        <v>340</v>
      </c>
      <c r="E37" s="53">
        <v>1870</v>
      </c>
      <c r="F37" s="47">
        <v>10</v>
      </c>
      <c r="G37" s="2">
        <f t="shared" si="1"/>
        <v>55</v>
      </c>
      <c r="H37" s="2">
        <f t="shared" si="2"/>
        <v>18700</v>
      </c>
    </row>
    <row r="38" spans="1:9" ht="15.75" customHeight="1" x14ac:dyDescent="0.25">
      <c r="A38" s="354">
        <v>1</v>
      </c>
      <c r="B38" s="131" t="e">
        <f t="shared" si="0"/>
        <v>#REF!</v>
      </c>
      <c r="C38" s="500" t="s">
        <v>10</v>
      </c>
      <c r="D38" s="52">
        <v>340</v>
      </c>
      <c r="E38" s="53">
        <v>2018</v>
      </c>
      <c r="F38" s="47">
        <v>9.1</v>
      </c>
      <c r="G38" s="2">
        <f t="shared" si="1"/>
        <v>54</v>
      </c>
      <c r="H38" s="2">
        <f t="shared" si="2"/>
        <v>18364</v>
      </c>
    </row>
    <row r="39" spans="1:9" ht="15.75" customHeight="1" x14ac:dyDescent="0.25">
      <c r="A39" s="354">
        <v>1</v>
      </c>
      <c r="B39" s="131" t="e">
        <f t="shared" si="0"/>
        <v>#REF!</v>
      </c>
      <c r="C39" s="526" t="s">
        <v>5</v>
      </c>
      <c r="D39" s="52"/>
      <c r="E39" s="508">
        <f>SUM(E31:E38)</f>
        <v>15751</v>
      </c>
      <c r="F39" s="158">
        <f>H39/E39</f>
        <v>8.9259094660656473</v>
      </c>
      <c r="G39" s="29">
        <f>SUM(G31:G38)</f>
        <v>429</v>
      </c>
      <c r="H39" s="549">
        <f>SUM(H31:H38)</f>
        <v>140592</v>
      </c>
      <c r="I39" s="366">
        <f>E39-E40</f>
        <v>15376</v>
      </c>
    </row>
    <row r="40" spans="1:9" ht="15.75" customHeight="1" x14ac:dyDescent="0.25">
      <c r="A40" s="354">
        <v>1</v>
      </c>
      <c r="B40" s="131" t="e">
        <f t="shared" si="0"/>
        <v>#REF!</v>
      </c>
      <c r="C40" s="143" t="s">
        <v>207</v>
      </c>
      <c r="D40" s="52"/>
      <c r="E40" s="508">
        <v>375</v>
      </c>
      <c r="F40" s="158"/>
      <c r="G40" s="29"/>
      <c r="H40" s="549"/>
    </row>
    <row r="41" spans="1:9" s="55" customFormat="1" ht="44.25" customHeight="1" x14ac:dyDescent="0.25">
      <c r="A41" s="354">
        <v>1</v>
      </c>
      <c r="B41" s="131" t="e">
        <f t="shared" si="0"/>
        <v>#REF!</v>
      </c>
      <c r="C41" s="621" t="s">
        <v>250</v>
      </c>
      <c r="D41" s="12"/>
      <c r="E41" s="512"/>
      <c r="F41" s="54"/>
      <c r="G41" s="54"/>
      <c r="H41" s="54"/>
    </row>
    <row r="42" spans="1:9" s="55" customFormat="1" ht="15.75" customHeight="1" x14ac:dyDescent="0.25">
      <c r="A42" s="354">
        <v>1</v>
      </c>
      <c r="B42" s="131" t="e">
        <f t="shared" si="0"/>
        <v>#REF!</v>
      </c>
      <c r="C42" s="14" t="s">
        <v>192</v>
      </c>
      <c r="D42" s="12"/>
      <c r="E42" s="512">
        <f>E44+E45+E46+E47</f>
        <v>49500</v>
      </c>
      <c r="F42" s="54"/>
      <c r="G42" s="54"/>
      <c r="H42" s="54"/>
    </row>
    <row r="43" spans="1:9" s="55" customFormat="1" ht="15.75" customHeight="1" x14ac:dyDescent="0.25">
      <c r="A43" s="354">
        <v>1</v>
      </c>
      <c r="B43" s="131" t="e">
        <f t="shared" si="0"/>
        <v>#REF!</v>
      </c>
      <c r="C43" s="18" t="s">
        <v>116</v>
      </c>
      <c r="D43" s="12"/>
      <c r="E43" s="512"/>
      <c r="F43" s="54"/>
      <c r="G43" s="54"/>
      <c r="H43" s="54"/>
    </row>
    <row r="44" spans="1:9" s="55" customFormat="1" ht="30" customHeight="1" x14ac:dyDescent="0.25">
      <c r="A44" s="354">
        <v>1</v>
      </c>
      <c r="B44" s="131" t="e">
        <f t="shared" si="0"/>
        <v>#REF!</v>
      </c>
      <c r="C44" s="15" t="s">
        <v>397</v>
      </c>
      <c r="D44" s="12"/>
      <c r="E44" s="56">
        <v>30000</v>
      </c>
      <c r="F44" s="54"/>
      <c r="G44" s="54"/>
      <c r="H44" s="54"/>
    </row>
    <row r="45" spans="1:9" s="55" customFormat="1" ht="45" customHeight="1" x14ac:dyDescent="0.25">
      <c r="A45" s="354">
        <v>1</v>
      </c>
      <c r="B45" s="131" t="e">
        <f t="shared" si="0"/>
        <v>#REF!</v>
      </c>
      <c r="C45" s="15" t="s">
        <v>398</v>
      </c>
      <c r="D45" s="12"/>
      <c r="E45" s="56">
        <v>4000</v>
      </c>
      <c r="F45" s="54"/>
      <c r="G45" s="54"/>
      <c r="H45" s="54"/>
    </row>
    <row r="46" spans="1:9" s="55" customFormat="1" ht="45" customHeight="1" x14ac:dyDescent="0.25">
      <c r="A46" s="354">
        <v>1</v>
      </c>
      <c r="B46" s="131" t="e">
        <f t="shared" si="0"/>
        <v>#REF!</v>
      </c>
      <c r="C46" s="15" t="s">
        <v>399</v>
      </c>
      <c r="D46" s="12"/>
      <c r="E46" s="56">
        <v>7000</v>
      </c>
      <c r="F46" s="54"/>
      <c r="G46" s="54"/>
      <c r="H46" s="54"/>
    </row>
    <row r="47" spans="1:9" s="55" customFormat="1" ht="75" customHeight="1" x14ac:dyDescent="0.25">
      <c r="A47" s="354">
        <v>1</v>
      </c>
      <c r="B47" s="131" t="e">
        <f t="shared" si="0"/>
        <v>#REF!</v>
      </c>
      <c r="C47" s="15" t="s">
        <v>400</v>
      </c>
      <c r="D47" s="253"/>
      <c r="E47" s="568">
        <v>8500</v>
      </c>
      <c r="F47" s="54"/>
      <c r="G47" s="54"/>
      <c r="H47" s="54"/>
    </row>
    <row r="48" spans="1:9" s="55" customFormat="1" ht="15.75" customHeight="1" x14ac:dyDescent="0.25">
      <c r="A48" s="354">
        <v>1</v>
      </c>
      <c r="B48" s="131" t="e">
        <f t="shared" si="0"/>
        <v>#REF!</v>
      </c>
      <c r="C48" s="57" t="s">
        <v>90</v>
      </c>
      <c r="D48" s="12"/>
      <c r="E48" s="512">
        <f>E49+E50+E51</f>
        <v>63400</v>
      </c>
      <c r="F48" s="54"/>
      <c r="G48" s="54"/>
      <c r="H48" s="54"/>
    </row>
    <row r="49" spans="1:8" s="55" customFormat="1" ht="15.75" customHeight="1" x14ac:dyDescent="0.25">
      <c r="A49" s="354">
        <v>1</v>
      </c>
      <c r="B49" s="131" t="e">
        <f t="shared" si="0"/>
        <v>#REF!</v>
      </c>
      <c r="C49" s="15" t="s">
        <v>145</v>
      </c>
      <c r="D49" s="12"/>
      <c r="E49" s="56">
        <v>58701</v>
      </c>
      <c r="F49" s="54"/>
      <c r="G49" s="54"/>
      <c r="H49" s="54"/>
    </row>
    <row r="50" spans="1:8" s="55" customFormat="1" ht="32.25" customHeight="1" x14ac:dyDescent="0.25">
      <c r="A50" s="354">
        <v>1</v>
      </c>
      <c r="B50" s="131" t="e">
        <f t="shared" si="0"/>
        <v>#REF!</v>
      </c>
      <c r="C50" s="15" t="s">
        <v>414</v>
      </c>
      <c r="D50" s="12"/>
      <c r="E50" s="56"/>
      <c r="F50" s="54"/>
      <c r="G50" s="54"/>
      <c r="H50" s="54"/>
    </row>
    <row r="51" spans="1:8" s="55" customFormat="1" ht="60" x14ac:dyDescent="0.25">
      <c r="A51" s="354"/>
      <c r="B51" s="131"/>
      <c r="C51" s="15" t="s">
        <v>421</v>
      </c>
      <c r="D51" s="12"/>
      <c r="E51" s="56">
        <v>4699</v>
      </c>
      <c r="F51" s="54"/>
      <c r="G51" s="54"/>
      <c r="H51" s="54"/>
    </row>
    <row r="52" spans="1:8" s="55" customFormat="1" ht="15.75" customHeight="1" x14ac:dyDescent="0.25">
      <c r="A52" s="354">
        <v>1</v>
      </c>
      <c r="B52" s="131" t="e">
        <f>B50+1</f>
        <v>#REF!</v>
      </c>
      <c r="C52" s="33" t="s">
        <v>98</v>
      </c>
      <c r="D52" s="12"/>
      <c r="E52" s="56"/>
      <c r="F52" s="54"/>
      <c r="G52" s="54"/>
      <c r="H52" s="54"/>
    </row>
    <row r="53" spans="1:8" s="55" customFormat="1" ht="86.25" customHeight="1" x14ac:dyDescent="0.25">
      <c r="A53" s="354">
        <v>1</v>
      </c>
      <c r="B53" s="131" t="e">
        <f t="shared" si="0"/>
        <v>#REF!</v>
      </c>
      <c r="C53" s="15" t="s">
        <v>420</v>
      </c>
      <c r="D53" s="12"/>
      <c r="E53" s="56">
        <v>23493</v>
      </c>
      <c r="F53" s="54"/>
      <c r="G53" s="54"/>
      <c r="H53" s="54"/>
    </row>
    <row r="54" spans="1:8" s="55" customFormat="1" ht="47.25" customHeight="1" x14ac:dyDescent="0.25">
      <c r="A54" s="354">
        <v>1</v>
      </c>
      <c r="B54" s="131" t="e">
        <f t="shared" si="0"/>
        <v>#REF!</v>
      </c>
      <c r="C54" s="58" t="s">
        <v>333</v>
      </c>
      <c r="D54" s="12"/>
      <c r="E54" s="512">
        <f>E55+E62</f>
        <v>34599</v>
      </c>
      <c r="F54" s="54"/>
      <c r="G54" s="54"/>
      <c r="H54" s="54"/>
    </row>
    <row r="55" spans="1:8" s="55" customFormat="1" ht="17.25" customHeight="1" x14ac:dyDescent="0.25">
      <c r="A55" s="354">
        <v>1</v>
      </c>
      <c r="B55" s="131" t="e">
        <f t="shared" si="0"/>
        <v>#REF!</v>
      </c>
      <c r="C55" s="16" t="s">
        <v>193</v>
      </c>
      <c r="D55" s="12"/>
      <c r="E55" s="512">
        <f>E56+E57+E60+E61+E58</f>
        <v>28328</v>
      </c>
      <c r="F55" s="54"/>
      <c r="G55" s="54"/>
      <c r="H55" s="54"/>
    </row>
    <row r="56" spans="1:8" s="55" customFormat="1" ht="36.75" customHeight="1" x14ac:dyDescent="0.25">
      <c r="A56" s="354">
        <v>1</v>
      </c>
      <c r="B56" s="131" t="e">
        <f t="shared" si="0"/>
        <v>#REF!</v>
      </c>
      <c r="C56" s="15" t="s">
        <v>334</v>
      </c>
      <c r="D56" s="12"/>
      <c r="E56" s="56">
        <v>23842</v>
      </c>
      <c r="F56" s="54"/>
      <c r="G56" s="54"/>
      <c r="H56" s="54"/>
    </row>
    <row r="57" spans="1:8" s="55" customFormat="1" ht="45" customHeight="1" x14ac:dyDescent="0.25">
      <c r="A57" s="354">
        <v>1</v>
      </c>
      <c r="B57" s="131" t="e">
        <f t="shared" si="0"/>
        <v>#REF!</v>
      </c>
      <c r="C57" s="15" t="s">
        <v>335</v>
      </c>
      <c r="D57" s="12"/>
      <c r="E57" s="512"/>
      <c r="F57" s="54"/>
      <c r="G57" s="54"/>
      <c r="H57" s="54"/>
    </row>
    <row r="58" spans="1:8" s="55" customFormat="1" ht="30" customHeight="1" x14ac:dyDescent="0.25">
      <c r="A58" s="354">
        <v>1</v>
      </c>
      <c r="B58" s="131" t="e">
        <f t="shared" si="0"/>
        <v>#REF!</v>
      </c>
      <c r="C58" s="15" t="s">
        <v>380</v>
      </c>
      <c r="D58" s="59"/>
      <c r="E58" s="60">
        <v>4486</v>
      </c>
      <c r="F58" s="54"/>
      <c r="G58" s="54"/>
      <c r="H58" s="54"/>
    </row>
    <row r="59" spans="1:8" s="55" customFormat="1" ht="30" customHeight="1" x14ac:dyDescent="0.25">
      <c r="A59" s="354">
        <v>1</v>
      </c>
      <c r="B59" s="131" t="e">
        <f t="shared" si="0"/>
        <v>#REF!</v>
      </c>
      <c r="C59" s="15" t="s">
        <v>381</v>
      </c>
      <c r="D59" s="59"/>
      <c r="E59" s="60"/>
      <c r="F59" s="54"/>
      <c r="G59" s="54"/>
      <c r="H59" s="54"/>
    </row>
    <row r="60" spans="1:8" s="55" customFormat="1" ht="30" customHeight="1" x14ac:dyDescent="0.25">
      <c r="A60" s="354">
        <v>1</v>
      </c>
      <c r="B60" s="131" t="e">
        <f t="shared" si="0"/>
        <v>#REF!</v>
      </c>
      <c r="C60" s="15" t="s">
        <v>382</v>
      </c>
      <c r="D60" s="12"/>
      <c r="E60" s="512"/>
      <c r="F60" s="54"/>
      <c r="G60" s="54"/>
      <c r="H60" s="54"/>
    </row>
    <row r="61" spans="1:8" s="55" customFormat="1" ht="30" customHeight="1" x14ac:dyDescent="0.25">
      <c r="A61" s="354">
        <v>1</v>
      </c>
      <c r="B61" s="131" t="e">
        <f t="shared" si="0"/>
        <v>#REF!</v>
      </c>
      <c r="C61" s="15" t="s">
        <v>383</v>
      </c>
      <c r="D61" s="12"/>
      <c r="E61" s="512"/>
      <c r="F61" s="54"/>
      <c r="G61" s="54"/>
      <c r="H61" s="54"/>
    </row>
    <row r="62" spans="1:8" s="55" customFormat="1" ht="30" customHeight="1" x14ac:dyDescent="0.25">
      <c r="A62" s="354">
        <v>1</v>
      </c>
      <c r="B62" s="131" t="e">
        <f t="shared" si="0"/>
        <v>#REF!</v>
      </c>
      <c r="C62" s="16" t="s">
        <v>194</v>
      </c>
      <c r="D62" s="12"/>
      <c r="E62" s="512">
        <f>E63+E64+E65</f>
        <v>6271</v>
      </c>
      <c r="F62" s="54"/>
      <c r="G62" s="54"/>
      <c r="H62" s="54"/>
    </row>
    <row r="63" spans="1:8" s="55" customFormat="1" ht="30" customHeight="1" x14ac:dyDescent="0.25">
      <c r="A63" s="354">
        <v>1</v>
      </c>
      <c r="B63" s="131" t="e">
        <f t="shared" si="0"/>
        <v>#REF!</v>
      </c>
      <c r="C63" s="15" t="s">
        <v>384</v>
      </c>
      <c r="D63" s="12"/>
      <c r="E63" s="56">
        <v>6271</v>
      </c>
      <c r="F63" s="54"/>
      <c r="G63" s="54"/>
      <c r="H63" s="54"/>
    </row>
    <row r="64" spans="1:8" s="55" customFormat="1" ht="45" customHeight="1" x14ac:dyDescent="0.25">
      <c r="A64" s="354">
        <v>1</v>
      </c>
      <c r="B64" s="131" t="e">
        <f t="shared" si="0"/>
        <v>#REF!</v>
      </c>
      <c r="C64" s="15" t="s">
        <v>385</v>
      </c>
      <c r="D64" s="12"/>
      <c r="E64" s="512"/>
      <c r="F64" s="54"/>
      <c r="G64" s="54"/>
      <c r="H64" s="54"/>
    </row>
    <row r="65" spans="1:8" s="55" customFormat="1" ht="45" customHeight="1" x14ac:dyDescent="0.25">
      <c r="A65" s="354">
        <v>1</v>
      </c>
      <c r="B65" s="131" t="e">
        <f t="shared" si="0"/>
        <v>#REF!</v>
      </c>
      <c r="C65" s="15" t="s">
        <v>386</v>
      </c>
      <c r="D65" s="59"/>
      <c r="E65" s="60"/>
      <c r="F65" s="54"/>
      <c r="G65" s="54"/>
      <c r="H65" s="54"/>
    </row>
    <row r="66" spans="1:8" s="55" customFormat="1" ht="15.75" customHeight="1" x14ac:dyDescent="0.25">
      <c r="A66" s="354">
        <v>1</v>
      </c>
      <c r="B66" s="131" t="e">
        <f t="shared" si="0"/>
        <v>#REF!</v>
      </c>
      <c r="C66" s="14" t="s">
        <v>251</v>
      </c>
      <c r="D66" s="59"/>
      <c r="E66" s="513">
        <f>E67+E68+E72+E73+E74+E75+E76*5</f>
        <v>10628</v>
      </c>
      <c r="F66" s="54"/>
      <c r="G66" s="54"/>
      <c r="H66" s="54"/>
    </row>
    <row r="67" spans="1:8" s="55" customFormat="1" ht="15.75" customHeight="1" x14ac:dyDescent="0.25">
      <c r="A67" s="354">
        <v>1</v>
      </c>
      <c r="B67" s="131" t="e">
        <f t="shared" si="0"/>
        <v>#REF!</v>
      </c>
      <c r="C67" s="15" t="s">
        <v>252</v>
      </c>
      <c r="D67" s="59"/>
      <c r="E67" s="53"/>
      <c r="F67" s="54"/>
      <c r="G67" s="54"/>
      <c r="H67" s="54"/>
    </row>
    <row r="68" spans="1:8" s="55" customFormat="1" ht="30" customHeight="1" x14ac:dyDescent="0.25">
      <c r="A68" s="354">
        <v>1</v>
      </c>
      <c r="B68" s="131" t="e">
        <f t="shared" si="0"/>
        <v>#REF!</v>
      </c>
      <c r="C68" s="16" t="s">
        <v>388</v>
      </c>
      <c r="D68" s="59"/>
      <c r="E68" s="53">
        <f>E69+E70/4+E71</f>
        <v>1000</v>
      </c>
      <c r="F68" s="54"/>
      <c r="G68" s="54"/>
      <c r="H68" s="54"/>
    </row>
    <row r="69" spans="1:8" s="145" customFormat="1" ht="15.75" customHeight="1" x14ac:dyDescent="0.25">
      <c r="A69" s="354">
        <v>1</v>
      </c>
      <c r="B69" s="131" t="e">
        <f t="shared" si="0"/>
        <v>#REF!</v>
      </c>
      <c r="C69" s="15" t="s">
        <v>389</v>
      </c>
      <c r="D69" s="13"/>
      <c r="E69" s="17">
        <v>1000</v>
      </c>
      <c r="F69" s="10"/>
      <c r="G69" s="10"/>
      <c r="H69" s="10"/>
    </row>
    <row r="70" spans="1:8" s="55" customFormat="1" ht="30" customHeight="1" x14ac:dyDescent="0.25">
      <c r="A70" s="354">
        <v>1</v>
      </c>
      <c r="B70" s="131" t="e">
        <f t="shared" si="0"/>
        <v>#REF!</v>
      </c>
      <c r="C70" s="15" t="s">
        <v>390</v>
      </c>
      <c r="D70" s="59"/>
      <c r="E70" s="53"/>
      <c r="F70" s="54"/>
      <c r="G70" s="54"/>
      <c r="H70" s="54"/>
    </row>
    <row r="71" spans="1:8" s="55" customFormat="1" ht="45" customHeight="1" x14ac:dyDescent="0.25">
      <c r="A71" s="354">
        <v>1</v>
      </c>
      <c r="B71" s="131" t="e">
        <f t="shared" si="0"/>
        <v>#REF!</v>
      </c>
      <c r="C71" s="15" t="s">
        <v>391</v>
      </c>
      <c r="D71" s="59"/>
      <c r="E71" s="502"/>
      <c r="F71" s="54"/>
      <c r="G71" s="54"/>
      <c r="H71" s="54"/>
    </row>
    <row r="72" spans="1:8" s="55" customFormat="1" ht="45" customHeight="1" x14ac:dyDescent="0.25">
      <c r="A72" s="354">
        <v>1</v>
      </c>
      <c r="B72" s="131" t="e">
        <f t="shared" si="0"/>
        <v>#REF!</v>
      </c>
      <c r="C72" s="15" t="s">
        <v>392</v>
      </c>
      <c r="D72" s="61"/>
      <c r="E72" s="513"/>
      <c r="F72" s="62"/>
      <c r="G72" s="62"/>
      <c r="H72" s="43"/>
    </row>
    <row r="73" spans="1:8" s="55" customFormat="1" ht="45" customHeight="1" x14ac:dyDescent="0.25">
      <c r="A73" s="354">
        <v>1</v>
      </c>
      <c r="B73" s="131" t="e">
        <f t="shared" si="0"/>
        <v>#REF!</v>
      </c>
      <c r="C73" s="18" t="s">
        <v>393</v>
      </c>
      <c r="D73" s="13"/>
      <c r="E73" s="53"/>
      <c r="F73" s="62"/>
      <c r="G73" s="62"/>
      <c r="H73" s="43"/>
    </row>
    <row r="74" spans="1:8" s="55" customFormat="1" ht="75" customHeight="1" x14ac:dyDescent="0.25">
      <c r="A74" s="354">
        <v>1</v>
      </c>
      <c r="B74" s="131" t="e">
        <f t="shared" si="0"/>
        <v>#REF!</v>
      </c>
      <c r="C74" s="18" t="s">
        <v>394</v>
      </c>
      <c r="D74" s="13"/>
      <c r="E74" s="53">
        <v>2000</v>
      </c>
      <c r="F74" s="62"/>
      <c r="G74" s="62"/>
      <c r="H74" s="43"/>
    </row>
    <row r="75" spans="1:8" s="55" customFormat="1" ht="30" customHeight="1" x14ac:dyDescent="0.25">
      <c r="A75" s="354">
        <v>1</v>
      </c>
      <c r="B75" s="131" t="e">
        <f t="shared" si="0"/>
        <v>#REF!</v>
      </c>
      <c r="C75" s="15" t="s">
        <v>395</v>
      </c>
      <c r="D75" s="13"/>
      <c r="E75" s="53">
        <v>7153</v>
      </c>
      <c r="F75" s="62"/>
      <c r="G75" s="62"/>
      <c r="H75" s="43"/>
    </row>
    <row r="76" spans="1:8" s="55" customFormat="1" ht="30" customHeight="1" x14ac:dyDescent="0.25">
      <c r="A76" s="354"/>
      <c r="B76" s="131"/>
      <c r="C76" s="617" t="s">
        <v>422</v>
      </c>
      <c r="D76" s="13"/>
      <c r="E76" s="508">
        <f>E77+E78</f>
        <v>95</v>
      </c>
      <c r="F76" s="62"/>
      <c r="G76" s="62"/>
      <c r="H76" s="43"/>
    </row>
    <row r="77" spans="1:8" s="55" customFormat="1" ht="21" customHeight="1" x14ac:dyDescent="0.25">
      <c r="A77" s="354"/>
      <c r="B77" s="131"/>
      <c r="C77" s="18" t="s">
        <v>423</v>
      </c>
      <c r="D77" s="13"/>
      <c r="E77" s="53">
        <v>10</v>
      </c>
      <c r="F77" s="62"/>
      <c r="G77" s="62"/>
      <c r="H77" s="43"/>
    </row>
    <row r="78" spans="1:8" s="55" customFormat="1" ht="21.75" customHeight="1" x14ac:dyDescent="0.25">
      <c r="A78" s="354"/>
      <c r="B78" s="131"/>
      <c r="C78" s="18" t="s">
        <v>424</v>
      </c>
      <c r="D78" s="13"/>
      <c r="E78" s="53">
        <v>85</v>
      </c>
      <c r="F78" s="62"/>
      <c r="G78" s="62"/>
      <c r="H78" s="43"/>
    </row>
    <row r="79" spans="1:8" s="55" customFormat="1" ht="15.75" customHeight="1" x14ac:dyDescent="0.25">
      <c r="A79" s="354">
        <v>1</v>
      </c>
      <c r="B79" s="131" t="e">
        <f>B75+1</f>
        <v>#REF!</v>
      </c>
      <c r="C79" s="14" t="s">
        <v>253</v>
      </c>
      <c r="D79" s="13"/>
      <c r="E79" s="53">
        <f>E80+E81</f>
        <v>200</v>
      </c>
      <c r="F79" s="62"/>
      <c r="G79" s="62"/>
      <c r="H79" s="43"/>
    </row>
    <row r="80" spans="1:8" s="55" customFormat="1" ht="15.75" customHeight="1" x14ac:dyDescent="0.25">
      <c r="A80" s="354">
        <v>1</v>
      </c>
      <c r="B80" s="131" t="e">
        <f t="shared" ref="B80:B143" si="3">B79+1</f>
        <v>#REF!</v>
      </c>
      <c r="C80" s="15" t="s">
        <v>254</v>
      </c>
      <c r="D80" s="13"/>
      <c r="E80" s="53">
        <v>200</v>
      </c>
      <c r="F80" s="62"/>
      <c r="G80" s="62"/>
      <c r="H80" s="43"/>
    </row>
    <row r="81" spans="1:8" s="55" customFormat="1" ht="15.75" customHeight="1" x14ac:dyDescent="0.25">
      <c r="A81" s="354">
        <v>1</v>
      </c>
      <c r="B81" s="131" t="e">
        <f t="shared" si="3"/>
        <v>#REF!</v>
      </c>
      <c r="C81" s="15" t="s">
        <v>255</v>
      </c>
      <c r="D81" s="13"/>
      <c r="E81" s="53">
        <f>E82/9.4</f>
        <v>0</v>
      </c>
      <c r="F81" s="62"/>
      <c r="G81" s="62"/>
      <c r="H81" s="43"/>
    </row>
    <row r="82" spans="1:8" s="55" customFormat="1" ht="15.75" customHeight="1" x14ac:dyDescent="0.25">
      <c r="A82" s="354">
        <v>1</v>
      </c>
      <c r="B82" s="131" t="e">
        <f t="shared" si="3"/>
        <v>#REF!</v>
      </c>
      <c r="C82" s="42" t="s">
        <v>261</v>
      </c>
      <c r="D82" s="13"/>
      <c r="E82" s="53"/>
      <c r="F82" s="62"/>
      <c r="G82" s="62"/>
      <c r="H82" s="43"/>
    </row>
    <row r="83" spans="1:8" s="55" customFormat="1" ht="29.25" customHeight="1" x14ac:dyDescent="0.25">
      <c r="A83" s="354">
        <v>1</v>
      </c>
      <c r="B83" s="131" t="e">
        <f t="shared" si="3"/>
        <v>#REF!</v>
      </c>
      <c r="C83" s="14" t="s">
        <v>256</v>
      </c>
      <c r="D83" s="13"/>
      <c r="E83" s="53">
        <v>17000</v>
      </c>
      <c r="F83" s="62"/>
      <c r="G83" s="62"/>
      <c r="H83" s="43"/>
    </row>
    <row r="84" spans="1:8" s="55" customFormat="1" ht="15.75" customHeight="1" x14ac:dyDescent="0.25">
      <c r="A84" s="354">
        <v>1</v>
      </c>
      <c r="B84" s="131" t="e">
        <f t="shared" si="3"/>
        <v>#REF!</v>
      </c>
      <c r="C84" s="19" t="s">
        <v>117</v>
      </c>
      <c r="D84" s="13"/>
      <c r="E84" s="60">
        <v>11000</v>
      </c>
      <c r="F84" s="62"/>
      <c r="G84" s="62"/>
      <c r="H84" s="43"/>
    </row>
    <row r="85" spans="1:8" s="55" customFormat="1" ht="57.75" customHeight="1" x14ac:dyDescent="0.25">
      <c r="A85" s="354">
        <v>1</v>
      </c>
      <c r="B85" s="131" t="e">
        <f t="shared" si="3"/>
        <v>#REF!</v>
      </c>
      <c r="C85" s="14" t="s">
        <v>259</v>
      </c>
      <c r="D85" s="13"/>
      <c r="E85" s="60">
        <v>4000</v>
      </c>
      <c r="F85" s="62"/>
      <c r="G85" s="62"/>
      <c r="H85" s="43"/>
    </row>
    <row r="86" spans="1:8" s="55" customFormat="1" ht="15.75" customHeight="1" x14ac:dyDescent="0.25">
      <c r="A86" s="354">
        <v>1</v>
      </c>
      <c r="B86" s="131" t="e">
        <f t="shared" si="3"/>
        <v>#REF!</v>
      </c>
      <c r="C86" s="20" t="s">
        <v>165</v>
      </c>
      <c r="D86" s="13"/>
      <c r="E86" s="513">
        <f>SUM(E87:E97)</f>
        <v>10840</v>
      </c>
      <c r="F86" s="62"/>
      <c r="G86" s="62"/>
      <c r="H86" s="43"/>
    </row>
    <row r="87" spans="1:8" ht="15.75" customHeight="1" x14ac:dyDescent="0.25">
      <c r="A87" s="354">
        <v>1</v>
      </c>
      <c r="B87" s="131" t="e">
        <f t="shared" si="3"/>
        <v>#REF!</v>
      </c>
      <c r="C87" s="212" t="s">
        <v>173</v>
      </c>
      <c r="D87" s="13"/>
      <c r="E87" s="53">
        <v>350</v>
      </c>
      <c r="F87" s="2"/>
      <c r="G87" s="2"/>
      <c r="H87" s="2"/>
    </row>
    <row r="88" spans="1:8" ht="30" customHeight="1" x14ac:dyDescent="0.25">
      <c r="A88" s="354">
        <v>1</v>
      </c>
      <c r="B88" s="131" t="e">
        <f t="shared" si="3"/>
        <v>#REF!</v>
      </c>
      <c r="C88" s="212" t="s">
        <v>289</v>
      </c>
      <c r="D88" s="13"/>
      <c r="E88" s="53">
        <v>300</v>
      </c>
      <c r="F88" s="2"/>
      <c r="G88" s="2"/>
      <c r="H88" s="2"/>
    </row>
    <row r="89" spans="1:8" ht="15.75" customHeight="1" x14ac:dyDescent="0.25">
      <c r="A89" s="354">
        <v>1</v>
      </c>
      <c r="B89" s="131" t="e">
        <f t="shared" si="3"/>
        <v>#REF!</v>
      </c>
      <c r="C89" s="503" t="s">
        <v>17</v>
      </c>
      <c r="D89" s="13"/>
      <c r="E89" s="53">
        <v>1600</v>
      </c>
      <c r="F89" s="2"/>
      <c r="G89" s="2"/>
      <c r="H89" s="2"/>
    </row>
    <row r="90" spans="1:8" ht="30" customHeight="1" x14ac:dyDescent="0.25">
      <c r="A90" s="354">
        <v>1</v>
      </c>
      <c r="B90" s="131" t="e">
        <f t="shared" si="3"/>
        <v>#REF!</v>
      </c>
      <c r="C90" s="212" t="s">
        <v>139</v>
      </c>
      <c r="D90" s="13"/>
      <c r="E90" s="53">
        <v>440</v>
      </c>
      <c r="F90" s="2"/>
      <c r="G90" s="2"/>
      <c r="H90" s="2"/>
    </row>
    <row r="91" spans="1:8" ht="45" customHeight="1" x14ac:dyDescent="0.25">
      <c r="A91" s="354">
        <v>1</v>
      </c>
      <c r="B91" s="131" t="e">
        <f t="shared" si="3"/>
        <v>#REF!</v>
      </c>
      <c r="C91" s="212" t="s">
        <v>242</v>
      </c>
      <c r="D91" s="13"/>
      <c r="E91" s="53">
        <v>3500</v>
      </c>
      <c r="F91" s="2"/>
      <c r="G91" s="2"/>
      <c r="H91" s="2"/>
    </row>
    <row r="92" spans="1:8" ht="75" customHeight="1" x14ac:dyDescent="0.25">
      <c r="A92" s="354">
        <v>1</v>
      </c>
      <c r="B92" s="131" t="e">
        <f t="shared" si="3"/>
        <v>#REF!</v>
      </c>
      <c r="C92" s="212" t="s">
        <v>267</v>
      </c>
      <c r="D92" s="13"/>
      <c r="E92" s="53">
        <v>250</v>
      </c>
      <c r="F92" s="2"/>
      <c r="G92" s="2"/>
      <c r="H92" s="2"/>
    </row>
    <row r="93" spans="1:8" ht="15.75" x14ac:dyDescent="0.25">
      <c r="A93" s="354"/>
      <c r="B93" s="131"/>
      <c r="C93" s="212" t="s">
        <v>440</v>
      </c>
      <c r="D93" s="13"/>
      <c r="E93" s="53"/>
      <c r="F93" s="2"/>
      <c r="G93" s="2"/>
      <c r="H93" s="2"/>
    </row>
    <row r="94" spans="1:8" ht="30" customHeight="1" x14ac:dyDescent="0.25">
      <c r="A94" s="354">
        <v>1</v>
      </c>
      <c r="B94" s="131" t="e">
        <f>B92+1</f>
        <v>#REF!</v>
      </c>
      <c r="C94" s="212" t="s">
        <v>204</v>
      </c>
      <c r="D94" s="13"/>
      <c r="E94" s="53">
        <v>500</v>
      </c>
      <c r="F94" s="2"/>
      <c r="G94" s="2"/>
      <c r="H94" s="2"/>
    </row>
    <row r="95" spans="1:8" ht="30" customHeight="1" x14ac:dyDescent="0.25">
      <c r="A95" s="354">
        <v>1</v>
      </c>
      <c r="B95" s="131" t="e">
        <f t="shared" si="3"/>
        <v>#REF!</v>
      </c>
      <c r="C95" s="212" t="s">
        <v>205</v>
      </c>
      <c r="D95" s="13"/>
      <c r="E95" s="53">
        <v>900</v>
      </c>
      <c r="F95" s="2"/>
      <c r="G95" s="2"/>
      <c r="H95" s="2"/>
    </row>
    <row r="96" spans="1:8" ht="15.75" customHeight="1" x14ac:dyDescent="0.25">
      <c r="A96" s="354">
        <v>1</v>
      </c>
      <c r="B96" s="131" t="e">
        <f t="shared" si="3"/>
        <v>#REF!</v>
      </c>
      <c r="C96" s="212" t="s">
        <v>31</v>
      </c>
      <c r="D96" s="13"/>
      <c r="E96" s="53">
        <v>2400</v>
      </c>
      <c r="F96" s="2"/>
      <c r="G96" s="2"/>
      <c r="H96" s="2"/>
    </row>
    <row r="97" spans="1:8" ht="15.75" customHeight="1" x14ac:dyDescent="0.25">
      <c r="A97" s="354">
        <v>1</v>
      </c>
      <c r="B97" s="131" t="e">
        <f t="shared" si="3"/>
        <v>#REF!</v>
      </c>
      <c r="C97" s="212" t="s">
        <v>119</v>
      </c>
      <c r="D97" s="13"/>
      <c r="E97" s="53">
        <v>600</v>
      </c>
      <c r="F97" s="2"/>
      <c r="G97" s="2"/>
      <c r="H97" s="2"/>
    </row>
    <row r="98" spans="1:8" ht="43.5" customHeight="1" x14ac:dyDescent="0.25">
      <c r="A98" s="354">
        <v>1</v>
      </c>
      <c r="B98" s="131" t="e">
        <f t="shared" si="3"/>
        <v>#REF!</v>
      </c>
      <c r="C98" s="21" t="s">
        <v>396</v>
      </c>
      <c r="D98" s="13"/>
      <c r="E98" s="508">
        <f>E53</f>
        <v>23493</v>
      </c>
      <c r="F98" s="2"/>
      <c r="G98" s="2"/>
      <c r="H98" s="2"/>
    </row>
    <row r="99" spans="1:8" ht="15.75" customHeight="1" x14ac:dyDescent="0.25">
      <c r="A99" s="354">
        <v>1</v>
      </c>
      <c r="B99" s="131" t="e">
        <f t="shared" si="3"/>
        <v>#REF!</v>
      </c>
      <c r="C99" s="21" t="s">
        <v>195</v>
      </c>
      <c r="D99" s="13"/>
      <c r="E99" s="508">
        <f>E66+E42</f>
        <v>60128</v>
      </c>
      <c r="F99" s="2"/>
      <c r="G99" s="2"/>
      <c r="H99" s="2"/>
    </row>
    <row r="100" spans="1:8" ht="29.25" customHeight="1" x14ac:dyDescent="0.25">
      <c r="A100" s="354">
        <v>1</v>
      </c>
      <c r="B100" s="131" t="e">
        <f t="shared" si="3"/>
        <v>#REF!</v>
      </c>
      <c r="C100" s="21" t="s">
        <v>196</v>
      </c>
      <c r="D100" s="13"/>
      <c r="E100" s="508">
        <f>E54</f>
        <v>34599</v>
      </c>
      <c r="F100" s="2"/>
      <c r="G100" s="2"/>
      <c r="H100" s="2"/>
    </row>
    <row r="101" spans="1:8" ht="15.75" customHeight="1" x14ac:dyDescent="0.25">
      <c r="A101" s="354">
        <v>1</v>
      </c>
      <c r="B101" s="131" t="e">
        <f t="shared" si="3"/>
        <v>#REF!</v>
      </c>
      <c r="C101" s="21" t="s">
        <v>197</v>
      </c>
      <c r="D101" s="13"/>
      <c r="E101" s="508">
        <f>E79+E48</f>
        <v>63600</v>
      </c>
      <c r="F101" s="2"/>
      <c r="G101" s="2"/>
      <c r="H101" s="2"/>
    </row>
    <row r="102" spans="1:8" ht="29.25" customHeight="1" x14ac:dyDescent="0.25">
      <c r="A102" s="354">
        <v>1</v>
      </c>
      <c r="B102" s="131" t="e">
        <f t="shared" si="3"/>
        <v>#REF!</v>
      </c>
      <c r="C102" s="21" t="s">
        <v>198</v>
      </c>
      <c r="D102" s="13"/>
      <c r="E102" s="508">
        <f>E83+E85</f>
        <v>21000</v>
      </c>
      <c r="F102" s="2"/>
      <c r="G102" s="2"/>
      <c r="H102" s="2"/>
    </row>
    <row r="103" spans="1:8" ht="15.75" customHeight="1" x14ac:dyDescent="0.25">
      <c r="A103" s="354">
        <v>1</v>
      </c>
      <c r="B103" s="131" t="e">
        <f t="shared" si="3"/>
        <v>#REF!</v>
      </c>
      <c r="C103" s="22" t="s">
        <v>112</v>
      </c>
      <c r="D103" s="52"/>
      <c r="E103" s="508">
        <f>E99+E100+E101*2.6+E102+E98*2.6</f>
        <v>342168.8</v>
      </c>
      <c r="F103" s="47"/>
      <c r="G103" s="2"/>
      <c r="H103" s="2"/>
    </row>
    <row r="104" spans="1:8" ht="15.75" customHeight="1" x14ac:dyDescent="0.25">
      <c r="A104" s="354">
        <v>1</v>
      </c>
      <c r="B104" s="131" t="e">
        <f t="shared" si="3"/>
        <v>#REF!</v>
      </c>
      <c r="C104" s="676"/>
      <c r="D104" s="13"/>
      <c r="E104" s="53"/>
      <c r="F104" s="2"/>
      <c r="G104" s="2"/>
      <c r="H104" s="2"/>
    </row>
    <row r="105" spans="1:8" ht="15.75" customHeight="1" x14ac:dyDescent="0.25">
      <c r="A105" s="354">
        <v>1</v>
      </c>
      <c r="B105" s="131" t="e">
        <f t="shared" si="3"/>
        <v>#REF!</v>
      </c>
      <c r="C105" s="44" t="s">
        <v>7</v>
      </c>
      <c r="D105" s="52"/>
      <c r="E105" s="53"/>
      <c r="F105" s="2"/>
      <c r="G105" s="2"/>
      <c r="H105" s="2"/>
    </row>
    <row r="106" spans="1:8" ht="15.75" customHeight="1" x14ac:dyDescent="0.25">
      <c r="A106" s="354">
        <v>1</v>
      </c>
      <c r="B106" s="131" t="e">
        <f t="shared" si="3"/>
        <v>#REF!</v>
      </c>
      <c r="C106" s="293" t="s">
        <v>93</v>
      </c>
      <c r="D106" s="52"/>
      <c r="E106" s="53"/>
      <c r="F106" s="2"/>
      <c r="G106" s="2"/>
      <c r="H106" s="2"/>
    </row>
    <row r="107" spans="1:8" ht="15.75" customHeight="1" x14ac:dyDescent="0.25">
      <c r="A107" s="354">
        <v>1</v>
      </c>
      <c r="B107" s="131" t="e">
        <f t="shared" si="3"/>
        <v>#REF!</v>
      </c>
      <c r="C107" s="500" t="s">
        <v>21</v>
      </c>
      <c r="D107" s="52">
        <v>300</v>
      </c>
      <c r="E107" s="536">
        <v>50</v>
      </c>
      <c r="F107" s="47">
        <v>6</v>
      </c>
      <c r="G107" s="2">
        <f t="shared" ref="G107:G114" si="4">ROUND(H107/D107,0)</f>
        <v>1</v>
      </c>
      <c r="H107" s="2">
        <f t="shared" ref="H107:H114" si="5">ROUND(E107*F107,0)</f>
        <v>300</v>
      </c>
    </row>
    <row r="108" spans="1:8" ht="15.75" customHeight="1" x14ac:dyDescent="0.25">
      <c r="A108" s="354">
        <v>1</v>
      </c>
      <c r="B108" s="131" t="e">
        <f t="shared" si="3"/>
        <v>#REF!</v>
      </c>
      <c r="C108" s="500" t="s">
        <v>25</v>
      </c>
      <c r="D108" s="52">
        <v>300</v>
      </c>
      <c r="E108" s="536">
        <v>125</v>
      </c>
      <c r="F108" s="47">
        <v>29</v>
      </c>
      <c r="G108" s="2">
        <f t="shared" si="4"/>
        <v>12</v>
      </c>
      <c r="H108" s="2">
        <f t="shared" si="5"/>
        <v>3625</v>
      </c>
    </row>
    <row r="109" spans="1:8" ht="15.75" customHeight="1" x14ac:dyDescent="0.25">
      <c r="A109" s="354">
        <v>1</v>
      </c>
      <c r="B109" s="131" t="e">
        <f t="shared" si="3"/>
        <v>#REF!</v>
      </c>
      <c r="C109" s="500" t="s">
        <v>76</v>
      </c>
      <c r="D109" s="52">
        <v>300</v>
      </c>
      <c r="E109" s="504">
        <v>110</v>
      </c>
      <c r="F109" s="47">
        <v>9.5</v>
      </c>
      <c r="G109" s="2">
        <f t="shared" si="4"/>
        <v>3</v>
      </c>
      <c r="H109" s="2">
        <f t="shared" si="5"/>
        <v>1045</v>
      </c>
    </row>
    <row r="110" spans="1:8" ht="15.75" customHeight="1" x14ac:dyDescent="0.25">
      <c r="A110" s="354">
        <v>1</v>
      </c>
      <c r="B110" s="131" t="e">
        <f t="shared" si="3"/>
        <v>#REF!</v>
      </c>
      <c r="C110" s="500" t="s">
        <v>12</v>
      </c>
      <c r="D110" s="52">
        <v>300</v>
      </c>
      <c r="E110" s="504">
        <v>0</v>
      </c>
      <c r="F110" s="47">
        <v>8</v>
      </c>
      <c r="G110" s="2">
        <f t="shared" si="4"/>
        <v>0</v>
      </c>
      <c r="H110" s="2">
        <f t="shared" si="5"/>
        <v>0</v>
      </c>
    </row>
    <row r="111" spans="1:8" ht="15.75" customHeight="1" x14ac:dyDescent="0.25">
      <c r="A111" s="354">
        <v>1</v>
      </c>
      <c r="B111" s="131" t="e">
        <f t="shared" si="3"/>
        <v>#REF!</v>
      </c>
      <c r="C111" s="500" t="s">
        <v>13</v>
      </c>
      <c r="D111" s="52">
        <v>300</v>
      </c>
      <c r="E111" s="504">
        <v>25</v>
      </c>
      <c r="F111" s="47">
        <v>9.8000000000000007</v>
      </c>
      <c r="G111" s="2">
        <f t="shared" si="4"/>
        <v>1</v>
      </c>
      <c r="H111" s="2">
        <f t="shared" si="5"/>
        <v>245</v>
      </c>
    </row>
    <row r="112" spans="1:8" ht="15.75" customHeight="1" x14ac:dyDescent="0.25">
      <c r="A112" s="354">
        <v>1</v>
      </c>
      <c r="B112" s="131" t="e">
        <f t="shared" si="3"/>
        <v>#REF!</v>
      </c>
      <c r="C112" s="500" t="s">
        <v>19</v>
      </c>
      <c r="D112" s="52">
        <v>300</v>
      </c>
      <c r="E112" s="536">
        <v>102</v>
      </c>
      <c r="F112" s="47">
        <v>8.1999999999999993</v>
      </c>
      <c r="G112" s="2">
        <f t="shared" si="4"/>
        <v>3</v>
      </c>
      <c r="H112" s="2">
        <f t="shared" si="5"/>
        <v>836</v>
      </c>
    </row>
    <row r="113" spans="1:8" ht="15.75" customHeight="1" x14ac:dyDescent="0.25">
      <c r="A113" s="354">
        <v>1</v>
      </c>
      <c r="B113" s="131" t="e">
        <f t="shared" si="3"/>
        <v>#REF!</v>
      </c>
      <c r="C113" s="500" t="s">
        <v>11</v>
      </c>
      <c r="D113" s="52">
        <v>300</v>
      </c>
      <c r="E113" s="705">
        <v>35</v>
      </c>
      <c r="F113" s="538">
        <v>9</v>
      </c>
      <c r="G113" s="2">
        <f t="shared" si="4"/>
        <v>1</v>
      </c>
      <c r="H113" s="2">
        <f t="shared" si="5"/>
        <v>315</v>
      </c>
    </row>
    <row r="114" spans="1:8" ht="15.75" customHeight="1" x14ac:dyDescent="0.25">
      <c r="A114" s="354">
        <v>1</v>
      </c>
      <c r="B114" s="131" t="e">
        <f t="shared" si="3"/>
        <v>#REF!</v>
      </c>
      <c r="C114" s="500" t="s">
        <v>10</v>
      </c>
      <c r="D114" s="52">
        <v>300</v>
      </c>
      <c r="E114" s="537">
        <v>40</v>
      </c>
      <c r="F114" s="538">
        <v>10.4</v>
      </c>
      <c r="G114" s="2">
        <f t="shared" si="4"/>
        <v>1</v>
      </c>
      <c r="H114" s="2">
        <f t="shared" si="5"/>
        <v>416</v>
      </c>
    </row>
    <row r="115" spans="1:8" ht="15.75" customHeight="1" x14ac:dyDescent="0.25">
      <c r="A115" s="354">
        <v>1</v>
      </c>
      <c r="B115" s="131" t="e">
        <f t="shared" si="3"/>
        <v>#REF!</v>
      </c>
      <c r="C115" s="706" t="s">
        <v>9</v>
      </c>
      <c r="D115" s="63"/>
      <c r="E115" s="508">
        <f>SUM(E107:E114)</f>
        <v>487</v>
      </c>
      <c r="F115" s="158">
        <f>H115/E115</f>
        <v>13.926078028747433</v>
      </c>
      <c r="G115" s="29">
        <f>SUM(G107:G114)</f>
        <v>22</v>
      </c>
      <c r="H115" s="29">
        <f>SUM(H107:H114)</f>
        <v>6782</v>
      </c>
    </row>
    <row r="116" spans="1:8" ht="15.75" customHeight="1" x14ac:dyDescent="0.25">
      <c r="A116" s="354">
        <v>1</v>
      </c>
      <c r="B116" s="131" t="e">
        <f t="shared" si="3"/>
        <v>#REF!</v>
      </c>
      <c r="C116" s="44" t="s">
        <v>18</v>
      </c>
      <c r="D116" s="63"/>
      <c r="E116" s="508"/>
      <c r="F116" s="158"/>
      <c r="G116" s="29"/>
      <c r="H116" s="29"/>
    </row>
    <row r="117" spans="1:8" ht="15.75" customHeight="1" x14ac:dyDescent="0.25">
      <c r="A117" s="354">
        <v>1</v>
      </c>
      <c r="B117" s="131" t="e">
        <f t="shared" si="3"/>
        <v>#REF!</v>
      </c>
      <c r="C117" s="539" t="s">
        <v>274</v>
      </c>
      <c r="D117" s="52">
        <v>240</v>
      </c>
      <c r="E117" s="536">
        <v>810</v>
      </c>
      <c r="F117" s="47">
        <v>1</v>
      </c>
      <c r="G117" s="2">
        <f>ROUND(H117/D117,0)</f>
        <v>3</v>
      </c>
      <c r="H117" s="2">
        <f>ROUND(E117*F117,0)</f>
        <v>810</v>
      </c>
    </row>
    <row r="118" spans="1:8" ht="15.75" customHeight="1" x14ac:dyDescent="0.25">
      <c r="A118" s="354">
        <v>1</v>
      </c>
      <c r="B118" s="131" t="e">
        <f t="shared" si="3"/>
        <v>#REF!</v>
      </c>
      <c r="C118" s="25" t="s">
        <v>35</v>
      </c>
      <c r="D118" s="52">
        <v>240</v>
      </c>
      <c r="E118" s="537">
        <v>1303</v>
      </c>
      <c r="F118" s="47">
        <v>8</v>
      </c>
      <c r="G118" s="2">
        <f>ROUND(H118/D118,0)</f>
        <v>43</v>
      </c>
      <c r="H118" s="2">
        <f>ROUND(E118*F118,0)</f>
        <v>10424</v>
      </c>
    </row>
    <row r="119" spans="1:8" ht="15.75" customHeight="1" x14ac:dyDescent="0.25">
      <c r="A119" s="354">
        <v>1</v>
      </c>
      <c r="B119" s="131" t="e">
        <f t="shared" si="3"/>
        <v>#REF!</v>
      </c>
      <c r="C119" s="707" t="s">
        <v>94</v>
      </c>
      <c r="D119" s="52"/>
      <c r="E119" s="708">
        <f>SUM(E117:E118)</f>
        <v>2113</v>
      </c>
      <c r="F119" s="213">
        <f>H119/E119</f>
        <v>5.3166114529105535</v>
      </c>
      <c r="G119" s="2">
        <f>SUM(G117:G118)</f>
        <v>46</v>
      </c>
      <c r="H119" s="2">
        <f>SUM(H117:H118)</f>
        <v>11234</v>
      </c>
    </row>
    <row r="120" spans="1:8" ht="15.75" customHeight="1" x14ac:dyDescent="0.25">
      <c r="A120" s="354">
        <v>1</v>
      </c>
      <c r="B120" s="131" t="e">
        <f t="shared" si="3"/>
        <v>#REF!</v>
      </c>
      <c r="C120" s="298" t="s">
        <v>89</v>
      </c>
      <c r="D120" s="64"/>
      <c r="E120" s="508">
        <f>SUM(E119,E115)</f>
        <v>2600</v>
      </c>
      <c r="F120" s="158">
        <f>H120/E120</f>
        <v>6.9292307692307693</v>
      </c>
      <c r="G120" s="29">
        <f>SUM(G119,G115)</f>
        <v>68</v>
      </c>
      <c r="H120" s="29">
        <f>SUM(H119,H115)</f>
        <v>18016</v>
      </c>
    </row>
    <row r="121" spans="1:8" ht="15.75" customHeight="1" x14ac:dyDescent="0.25">
      <c r="A121" s="354">
        <v>1</v>
      </c>
      <c r="B121" s="131" t="e">
        <f t="shared" si="3"/>
        <v>#REF!</v>
      </c>
      <c r="C121" s="65"/>
      <c r="D121" s="367"/>
      <c r="E121" s="508"/>
      <c r="F121" s="158"/>
      <c r="G121" s="29"/>
      <c r="H121" s="29"/>
    </row>
    <row r="122" spans="1:8" ht="30" customHeight="1" x14ac:dyDescent="0.25">
      <c r="A122" s="354">
        <v>1</v>
      </c>
      <c r="B122" s="131" t="e">
        <f t="shared" si="3"/>
        <v>#REF!</v>
      </c>
      <c r="C122" s="368" t="s">
        <v>276</v>
      </c>
      <c r="D122" s="367"/>
      <c r="E122" s="53"/>
      <c r="F122" s="158"/>
      <c r="G122" s="29"/>
      <c r="H122" s="29"/>
    </row>
    <row r="123" spans="1:8" ht="30" customHeight="1" x14ac:dyDescent="0.25">
      <c r="A123" s="354">
        <v>1</v>
      </c>
      <c r="B123" s="131" t="e">
        <f t="shared" si="3"/>
        <v>#REF!</v>
      </c>
      <c r="C123" s="188" t="s">
        <v>277</v>
      </c>
      <c r="D123" s="367"/>
      <c r="E123" s="53"/>
      <c r="F123" s="158"/>
      <c r="G123" s="29"/>
      <c r="H123" s="29"/>
    </row>
    <row r="124" spans="1:8" ht="30" customHeight="1" x14ac:dyDescent="0.25">
      <c r="A124" s="354">
        <v>1</v>
      </c>
      <c r="B124" s="131" t="e">
        <f t="shared" si="3"/>
        <v>#REF!</v>
      </c>
      <c r="C124" s="368" t="s">
        <v>278</v>
      </c>
      <c r="D124" s="367"/>
      <c r="E124" s="53"/>
      <c r="F124" s="158"/>
      <c r="G124" s="29"/>
      <c r="H124" s="29"/>
    </row>
    <row r="125" spans="1:8" ht="45" customHeight="1" x14ac:dyDescent="0.25">
      <c r="A125" s="354">
        <v>1</v>
      </c>
      <c r="B125" s="131" t="e">
        <f t="shared" si="3"/>
        <v>#REF!</v>
      </c>
      <c r="C125" s="709" t="s">
        <v>279</v>
      </c>
      <c r="D125" s="367"/>
      <c r="E125" s="53"/>
      <c r="F125" s="158"/>
      <c r="G125" s="29"/>
      <c r="H125" s="29"/>
    </row>
    <row r="126" spans="1:8" ht="61.5" customHeight="1" x14ac:dyDescent="0.25">
      <c r="A126" s="354">
        <v>1</v>
      </c>
      <c r="B126" s="131" t="e">
        <f t="shared" si="3"/>
        <v>#REF!</v>
      </c>
      <c r="C126" s="709" t="s">
        <v>280</v>
      </c>
      <c r="D126" s="367"/>
      <c r="E126" s="53"/>
      <c r="F126" s="158"/>
      <c r="G126" s="29"/>
      <c r="H126" s="29"/>
    </row>
    <row r="127" spans="1:8" ht="43.5" customHeight="1" x14ac:dyDescent="0.25">
      <c r="A127" s="354">
        <v>1</v>
      </c>
      <c r="B127" s="131" t="e">
        <f t="shared" si="3"/>
        <v>#REF!</v>
      </c>
      <c r="C127" s="709" t="s">
        <v>281</v>
      </c>
      <c r="D127" s="66"/>
      <c r="E127" s="53"/>
      <c r="F127" s="158"/>
      <c r="G127" s="29"/>
      <c r="H127" s="29"/>
    </row>
    <row r="128" spans="1:8" ht="57" customHeight="1" x14ac:dyDescent="0.25">
      <c r="A128" s="354">
        <v>1</v>
      </c>
      <c r="B128" s="131" t="e">
        <f t="shared" si="3"/>
        <v>#REF!</v>
      </c>
      <c r="C128" s="709" t="s">
        <v>273</v>
      </c>
      <c r="D128" s="367"/>
      <c r="E128" s="53"/>
      <c r="F128" s="158"/>
      <c r="G128" s="29"/>
      <c r="H128" s="29"/>
    </row>
    <row r="129" spans="1:8" ht="29.25" customHeight="1" x14ac:dyDescent="0.25">
      <c r="A129" s="354">
        <v>1</v>
      </c>
      <c r="B129" s="131" t="e">
        <f t="shared" si="3"/>
        <v>#REF!</v>
      </c>
      <c r="C129" s="129" t="s">
        <v>266</v>
      </c>
      <c r="D129" s="66"/>
      <c r="E129" s="508">
        <f>SUM(E122:E128)</f>
        <v>0</v>
      </c>
      <c r="F129" s="158"/>
      <c r="G129" s="29"/>
      <c r="H129" s="29"/>
    </row>
    <row r="130" spans="1:8" ht="31.5" customHeight="1" x14ac:dyDescent="0.25">
      <c r="A130" s="354">
        <v>1</v>
      </c>
      <c r="B130" s="131" t="e">
        <f t="shared" si="3"/>
        <v>#REF!</v>
      </c>
      <c r="C130" s="592" t="s">
        <v>104</v>
      </c>
      <c r="D130" s="66"/>
      <c r="E130" s="369">
        <v>20</v>
      </c>
      <c r="F130" s="161"/>
      <c r="G130" s="43"/>
      <c r="H130" s="43"/>
    </row>
    <row r="131" spans="1:8" ht="15.75" customHeight="1" x14ac:dyDescent="0.25">
      <c r="A131" s="354">
        <v>1</v>
      </c>
      <c r="B131" s="131" t="e">
        <f t="shared" si="3"/>
        <v>#REF!</v>
      </c>
      <c r="C131" s="710" t="s">
        <v>187</v>
      </c>
      <c r="D131" s="64"/>
      <c r="E131" s="711">
        <v>40</v>
      </c>
      <c r="F131" s="712"/>
      <c r="G131" s="518"/>
      <c r="H131" s="518"/>
    </row>
    <row r="132" spans="1:8" ht="15.75" customHeight="1" x14ac:dyDescent="0.25">
      <c r="A132" s="354">
        <v>1</v>
      </c>
      <c r="B132" s="131" t="e">
        <f t="shared" si="3"/>
        <v>#REF!</v>
      </c>
      <c r="C132" s="162" t="s">
        <v>166</v>
      </c>
      <c r="D132" s="64"/>
      <c r="E132" s="518">
        <f>SUM(E130+E131)</f>
        <v>60</v>
      </c>
      <c r="F132" s="712"/>
      <c r="G132" s="518"/>
      <c r="H132" s="518"/>
    </row>
    <row r="133" spans="1:8" ht="16.5" customHeight="1" thickBot="1" x14ac:dyDescent="0.3">
      <c r="A133" s="354">
        <v>1</v>
      </c>
      <c r="B133" s="131" t="e">
        <f t="shared" si="3"/>
        <v>#REF!</v>
      </c>
      <c r="C133" s="495" t="s">
        <v>213</v>
      </c>
      <c r="D133" s="370"/>
      <c r="E133" s="490"/>
      <c r="F133" s="496"/>
      <c r="G133" s="496"/>
      <c r="H133" s="496"/>
    </row>
    <row r="134" spans="1:8" ht="15.75" customHeight="1" thickBot="1" x14ac:dyDescent="0.3">
      <c r="A134" s="354">
        <v>1</v>
      </c>
      <c r="B134" s="131" t="e">
        <f t="shared" si="3"/>
        <v>#REF!</v>
      </c>
      <c r="C134" s="497"/>
      <c r="D134" s="371"/>
      <c r="E134" s="53"/>
      <c r="F134" s="2"/>
      <c r="G134" s="2"/>
      <c r="H134" s="2"/>
    </row>
    <row r="135" spans="1:8" s="51" customFormat="1" ht="48" hidden="1" customHeight="1" x14ac:dyDescent="0.25">
      <c r="A135" s="354">
        <v>1</v>
      </c>
      <c r="B135" s="131" t="e">
        <f t="shared" si="3"/>
        <v>#REF!</v>
      </c>
      <c r="C135" s="686" t="s">
        <v>348</v>
      </c>
      <c r="D135" s="63"/>
      <c r="E135" s="498"/>
      <c r="F135" s="2"/>
      <c r="G135" s="2"/>
      <c r="H135" s="2"/>
    </row>
    <row r="136" spans="1:8" s="51" customFormat="1" ht="15.75" hidden="1" customHeight="1" x14ac:dyDescent="0.25">
      <c r="A136" s="354">
        <v>1</v>
      </c>
      <c r="B136" s="131" t="e">
        <f t="shared" si="3"/>
        <v>#REF!</v>
      </c>
      <c r="C136" s="499" t="s">
        <v>4</v>
      </c>
      <c r="D136" s="63"/>
      <c r="E136" s="53"/>
      <c r="F136" s="2"/>
      <c r="G136" s="2"/>
      <c r="H136" s="2"/>
    </row>
    <row r="137" spans="1:8" s="51" customFormat="1" ht="15.75" hidden="1" customHeight="1" x14ac:dyDescent="0.25">
      <c r="A137" s="354">
        <v>1</v>
      </c>
      <c r="B137" s="131" t="e">
        <f t="shared" si="3"/>
        <v>#REF!</v>
      </c>
      <c r="C137" s="500" t="s">
        <v>21</v>
      </c>
      <c r="D137" s="52">
        <v>340</v>
      </c>
      <c r="E137" s="53">
        <f>2302-61</f>
        <v>2241</v>
      </c>
      <c r="F137" s="47">
        <v>6.5</v>
      </c>
      <c r="G137" s="2">
        <f t="shared" ref="G137:G142" si="6">ROUND(H137/D137,0)</f>
        <v>43</v>
      </c>
      <c r="H137" s="2">
        <f t="shared" ref="H137:H142" si="7">ROUND(E137*F137,0)</f>
        <v>14567</v>
      </c>
    </row>
    <row r="138" spans="1:8" s="51" customFormat="1" ht="15.75" hidden="1" customHeight="1" x14ac:dyDescent="0.25">
      <c r="A138" s="354">
        <v>1</v>
      </c>
      <c r="B138" s="131" t="e">
        <f t="shared" si="3"/>
        <v>#REF!</v>
      </c>
      <c r="C138" s="500" t="s">
        <v>25</v>
      </c>
      <c r="D138" s="52">
        <v>270</v>
      </c>
      <c r="E138" s="53"/>
      <c r="F138" s="47">
        <v>7.5</v>
      </c>
      <c r="G138" s="2">
        <f t="shared" si="6"/>
        <v>0</v>
      </c>
      <c r="H138" s="2">
        <f t="shared" si="7"/>
        <v>0</v>
      </c>
    </row>
    <row r="139" spans="1:8" s="51" customFormat="1" ht="15.75" hidden="1" customHeight="1" x14ac:dyDescent="0.25">
      <c r="A139" s="354">
        <v>1</v>
      </c>
      <c r="B139" s="131" t="e">
        <f t="shared" si="3"/>
        <v>#REF!</v>
      </c>
      <c r="C139" s="294" t="s">
        <v>20</v>
      </c>
      <c r="D139" s="372">
        <v>340</v>
      </c>
      <c r="E139" s="53">
        <v>2216</v>
      </c>
      <c r="F139" s="47">
        <v>8.9</v>
      </c>
      <c r="G139" s="2">
        <f t="shared" si="6"/>
        <v>58</v>
      </c>
      <c r="H139" s="2">
        <f t="shared" si="7"/>
        <v>19722</v>
      </c>
    </row>
    <row r="140" spans="1:8" s="51" customFormat="1" ht="15.75" hidden="1" customHeight="1" x14ac:dyDescent="0.25">
      <c r="A140" s="354">
        <v>1</v>
      </c>
      <c r="B140" s="131" t="e">
        <f t="shared" si="3"/>
        <v>#REF!</v>
      </c>
      <c r="C140" s="500" t="s">
        <v>19</v>
      </c>
      <c r="D140" s="372">
        <v>340</v>
      </c>
      <c r="E140" s="53">
        <v>1935</v>
      </c>
      <c r="F140" s="47">
        <v>9.6999999999999993</v>
      </c>
      <c r="G140" s="2">
        <f t="shared" si="6"/>
        <v>55</v>
      </c>
      <c r="H140" s="2">
        <f t="shared" si="7"/>
        <v>18770</v>
      </c>
    </row>
    <row r="141" spans="1:8" s="51" customFormat="1" ht="15.75" hidden="1" customHeight="1" x14ac:dyDescent="0.25">
      <c r="A141" s="354">
        <v>1</v>
      </c>
      <c r="B141" s="131" t="e">
        <f t="shared" si="3"/>
        <v>#REF!</v>
      </c>
      <c r="C141" s="294" t="s">
        <v>10</v>
      </c>
      <c r="D141" s="372">
        <v>340</v>
      </c>
      <c r="E141" s="53">
        <v>1845</v>
      </c>
      <c r="F141" s="47">
        <v>7.1</v>
      </c>
      <c r="G141" s="2">
        <f t="shared" si="6"/>
        <v>39</v>
      </c>
      <c r="H141" s="2">
        <f t="shared" si="7"/>
        <v>13100</v>
      </c>
    </row>
    <row r="142" spans="1:8" s="51" customFormat="1" ht="15.75" hidden="1" customHeight="1" x14ac:dyDescent="0.25">
      <c r="A142" s="354">
        <v>1</v>
      </c>
      <c r="B142" s="131" t="e">
        <f t="shared" si="3"/>
        <v>#REF!</v>
      </c>
      <c r="C142" s="294" t="s">
        <v>44</v>
      </c>
      <c r="D142" s="372">
        <v>340</v>
      </c>
      <c r="E142" s="53">
        <v>1486</v>
      </c>
      <c r="F142" s="47">
        <v>8.6</v>
      </c>
      <c r="G142" s="2">
        <f t="shared" si="6"/>
        <v>38</v>
      </c>
      <c r="H142" s="2">
        <f t="shared" si="7"/>
        <v>12780</v>
      </c>
    </row>
    <row r="143" spans="1:8" ht="15.75" hidden="1" customHeight="1" x14ac:dyDescent="0.25">
      <c r="A143" s="354">
        <v>1</v>
      </c>
      <c r="B143" s="131" t="e">
        <f t="shared" si="3"/>
        <v>#REF!</v>
      </c>
      <c r="C143" s="526" t="s">
        <v>5</v>
      </c>
      <c r="D143" s="52"/>
      <c r="E143" s="508">
        <f>SUM(E137:E142)</f>
        <v>9723</v>
      </c>
      <c r="F143" s="158">
        <f>H143/E143</f>
        <v>8.1187904967602584</v>
      </c>
      <c r="G143" s="29">
        <f>SUM(G137:G142)</f>
        <v>233</v>
      </c>
      <c r="H143" s="29">
        <f>SUM(H137:H142)</f>
        <v>78939</v>
      </c>
    </row>
    <row r="144" spans="1:8" ht="15.75" hidden="1" customHeight="1" x14ac:dyDescent="0.25">
      <c r="A144" s="354">
        <v>1</v>
      </c>
      <c r="B144" s="131" t="e">
        <f t="shared" ref="B144:B209" si="8">B143+1</f>
        <v>#REF!</v>
      </c>
      <c r="C144" s="143" t="s">
        <v>207</v>
      </c>
      <c r="D144" s="52"/>
      <c r="E144" s="508">
        <v>30</v>
      </c>
      <c r="F144" s="158"/>
      <c r="G144" s="29"/>
      <c r="H144" s="29"/>
    </row>
    <row r="145" spans="1:8" s="145" customFormat="1" ht="15.75" hidden="1" customHeight="1" x14ac:dyDescent="0.25">
      <c r="A145" s="354">
        <v>1</v>
      </c>
      <c r="B145" s="131" t="e">
        <f t="shared" si="8"/>
        <v>#REF!</v>
      </c>
      <c r="C145" s="501" t="s">
        <v>6</v>
      </c>
      <c r="D145" s="139"/>
      <c r="E145" s="502"/>
      <c r="F145" s="140"/>
      <c r="G145" s="2"/>
      <c r="H145" s="10"/>
    </row>
    <row r="146" spans="1:8" ht="15.75" hidden="1" customHeight="1" x14ac:dyDescent="0.25">
      <c r="A146" s="354">
        <v>1</v>
      </c>
      <c r="B146" s="131" t="e">
        <f t="shared" si="8"/>
        <v>#REF!</v>
      </c>
      <c r="C146" s="67" t="s">
        <v>98</v>
      </c>
      <c r="D146" s="474"/>
      <c r="E146" s="475"/>
      <c r="F146" s="2"/>
      <c r="G146" s="2"/>
      <c r="H146" s="2"/>
    </row>
    <row r="147" spans="1:8" ht="15.75" hidden="1" customHeight="1" x14ac:dyDescent="0.25">
      <c r="A147" s="354">
        <v>1</v>
      </c>
      <c r="B147" s="131" t="e">
        <f t="shared" si="8"/>
        <v>#REF!</v>
      </c>
      <c r="C147" s="20" t="s">
        <v>165</v>
      </c>
      <c r="D147" s="474"/>
      <c r="E147" s="480">
        <f>SUM(E148:E157)</f>
        <v>6379</v>
      </c>
      <c r="F147" s="29"/>
      <c r="G147" s="29"/>
      <c r="H147" s="29"/>
    </row>
    <row r="148" spans="1:8" ht="15.75" hidden="1" customHeight="1" x14ac:dyDescent="0.25">
      <c r="A148" s="354">
        <v>1</v>
      </c>
      <c r="B148" s="131" t="e">
        <f t="shared" si="8"/>
        <v>#REF!</v>
      </c>
      <c r="C148" s="503" t="s">
        <v>289</v>
      </c>
      <c r="D148" s="139"/>
      <c r="E148" s="479">
        <v>524</v>
      </c>
      <c r="F148" s="2"/>
      <c r="G148" s="2"/>
      <c r="H148" s="2"/>
    </row>
    <row r="149" spans="1:8" ht="15.75" hidden="1" customHeight="1" x14ac:dyDescent="0.25">
      <c r="A149" s="354">
        <v>1</v>
      </c>
      <c r="B149" s="131" t="e">
        <f t="shared" si="8"/>
        <v>#REF!</v>
      </c>
      <c r="C149" s="212" t="s">
        <v>173</v>
      </c>
      <c r="D149" s="474"/>
      <c r="E149" s="479">
        <v>200</v>
      </c>
      <c r="F149" s="2"/>
      <c r="G149" s="2"/>
      <c r="H149" s="2"/>
    </row>
    <row r="150" spans="1:8" ht="60" hidden="1" customHeight="1" x14ac:dyDescent="0.25">
      <c r="A150" s="354">
        <v>1</v>
      </c>
      <c r="B150" s="131" t="e">
        <f t="shared" si="8"/>
        <v>#REF!</v>
      </c>
      <c r="C150" s="147" t="s">
        <v>267</v>
      </c>
      <c r="D150" s="474"/>
      <c r="E150" s="479">
        <v>90</v>
      </c>
      <c r="F150" s="2"/>
      <c r="G150" s="2"/>
      <c r="H150" s="2"/>
    </row>
    <row r="151" spans="1:8" ht="15.75" hidden="1" customHeight="1" x14ac:dyDescent="0.25">
      <c r="A151" s="354">
        <v>1</v>
      </c>
      <c r="B151" s="131" t="e">
        <f t="shared" si="8"/>
        <v>#REF!</v>
      </c>
      <c r="C151" s="503" t="s">
        <v>17</v>
      </c>
      <c r="D151" s="474"/>
      <c r="E151" s="479">
        <v>4000</v>
      </c>
      <c r="F151" s="2"/>
      <c r="G151" s="2"/>
      <c r="H151" s="2"/>
    </row>
    <row r="152" spans="1:8" ht="30" hidden="1" customHeight="1" x14ac:dyDescent="0.25">
      <c r="A152" s="354">
        <v>1</v>
      </c>
      <c r="B152" s="131" t="e">
        <f t="shared" si="8"/>
        <v>#REF!</v>
      </c>
      <c r="C152" s="212" t="s">
        <v>139</v>
      </c>
      <c r="D152" s="474"/>
      <c r="E152" s="479">
        <v>465</v>
      </c>
      <c r="F152" s="2"/>
      <c r="G152" s="2"/>
      <c r="H152" s="2"/>
    </row>
    <row r="153" spans="1:8" ht="30" hidden="1" customHeight="1" x14ac:dyDescent="0.25">
      <c r="A153" s="354">
        <v>1</v>
      </c>
      <c r="B153" s="131" t="e">
        <f t="shared" si="8"/>
        <v>#REF!</v>
      </c>
      <c r="C153" s="212" t="s">
        <v>127</v>
      </c>
      <c r="D153" s="474"/>
      <c r="E153" s="479"/>
      <c r="F153" s="2"/>
      <c r="G153" s="2"/>
      <c r="H153" s="2"/>
    </row>
    <row r="154" spans="1:8" ht="15.75" hidden="1" customHeight="1" x14ac:dyDescent="0.25">
      <c r="A154" s="354">
        <v>1</v>
      </c>
      <c r="B154" s="131" t="e">
        <f t="shared" si="8"/>
        <v>#REF!</v>
      </c>
      <c r="C154" s="212" t="s">
        <v>99</v>
      </c>
      <c r="D154" s="474"/>
      <c r="E154" s="479">
        <v>525</v>
      </c>
      <c r="F154" s="2"/>
      <c r="G154" s="2"/>
      <c r="H154" s="2"/>
    </row>
    <row r="155" spans="1:8" ht="30" hidden="1" customHeight="1" x14ac:dyDescent="0.25">
      <c r="A155" s="354">
        <v>1</v>
      </c>
      <c r="B155" s="131" t="e">
        <f t="shared" si="8"/>
        <v>#REF!</v>
      </c>
      <c r="C155" s="212" t="s">
        <v>200</v>
      </c>
      <c r="D155" s="474"/>
      <c r="E155" s="479">
        <v>33</v>
      </c>
      <c r="F155" s="2"/>
      <c r="G155" s="2"/>
      <c r="H155" s="2"/>
    </row>
    <row r="156" spans="1:8" ht="15.75" hidden="1" customHeight="1" x14ac:dyDescent="0.25">
      <c r="A156" s="354">
        <v>1</v>
      </c>
      <c r="B156" s="131" t="e">
        <f t="shared" si="8"/>
        <v>#REF!</v>
      </c>
      <c r="C156" s="212" t="s">
        <v>51</v>
      </c>
      <c r="D156" s="474"/>
      <c r="E156" s="479">
        <v>42</v>
      </c>
      <c r="F156" s="2"/>
      <c r="G156" s="2"/>
      <c r="H156" s="2"/>
    </row>
    <row r="157" spans="1:8" ht="15.75" hidden="1" customHeight="1" x14ac:dyDescent="0.25">
      <c r="A157" s="354">
        <v>1</v>
      </c>
      <c r="B157" s="131" t="e">
        <f t="shared" si="8"/>
        <v>#REF!</v>
      </c>
      <c r="C157" s="212" t="s">
        <v>119</v>
      </c>
      <c r="D157" s="474"/>
      <c r="E157" s="479">
        <v>500</v>
      </c>
      <c r="F157" s="2"/>
      <c r="G157" s="2"/>
      <c r="H157" s="2"/>
    </row>
    <row r="158" spans="1:8" ht="15.75" hidden="1" customHeight="1" x14ac:dyDescent="0.25">
      <c r="A158" s="354">
        <v>1</v>
      </c>
      <c r="B158" s="131" t="e">
        <f t="shared" si="8"/>
        <v>#REF!</v>
      </c>
      <c r="C158" s="22" t="s">
        <v>112</v>
      </c>
      <c r="D158" s="52"/>
      <c r="E158" s="53"/>
      <c r="F158" s="47"/>
      <c r="G158" s="2"/>
      <c r="H158" s="2"/>
    </row>
    <row r="159" spans="1:8" ht="15.75" hidden="1" customHeight="1" x14ac:dyDescent="0.25">
      <c r="A159" s="354">
        <v>1</v>
      </c>
      <c r="B159" s="131" t="e">
        <f t="shared" si="8"/>
        <v>#REF!</v>
      </c>
      <c r="C159" s="293" t="s">
        <v>93</v>
      </c>
      <c r="D159" s="52"/>
      <c r="E159" s="53"/>
      <c r="F159" s="47"/>
      <c r="G159" s="2"/>
      <c r="H159" s="2"/>
    </row>
    <row r="160" spans="1:8" ht="15.75" hidden="1" customHeight="1" x14ac:dyDescent="0.25">
      <c r="A160" s="354">
        <v>1</v>
      </c>
      <c r="B160" s="131" t="e">
        <f t="shared" si="8"/>
        <v>#REF!</v>
      </c>
      <c r="C160" s="500" t="s">
        <v>21</v>
      </c>
      <c r="D160" s="52">
        <v>300</v>
      </c>
      <c r="E160" s="504">
        <v>662</v>
      </c>
      <c r="F160" s="47">
        <v>4</v>
      </c>
      <c r="G160" s="2">
        <f>ROUND(H160/D160,0)</f>
        <v>9</v>
      </c>
      <c r="H160" s="2">
        <f>ROUND(E160*F160,0)</f>
        <v>2648</v>
      </c>
    </row>
    <row r="161" spans="1:8" ht="15.75" hidden="1" customHeight="1" x14ac:dyDescent="0.25">
      <c r="A161" s="354">
        <v>1</v>
      </c>
      <c r="B161" s="131" t="e">
        <f t="shared" si="8"/>
        <v>#REF!</v>
      </c>
      <c r="C161" s="500" t="s">
        <v>19</v>
      </c>
      <c r="D161" s="52">
        <v>300</v>
      </c>
      <c r="E161" s="504">
        <v>144</v>
      </c>
      <c r="F161" s="47">
        <v>8</v>
      </c>
      <c r="G161" s="2">
        <f>ROUND(H161/D161,0)</f>
        <v>4</v>
      </c>
      <c r="H161" s="2">
        <f>ROUND(E161*F161,0)</f>
        <v>1152</v>
      </c>
    </row>
    <row r="162" spans="1:8" ht="15.75" hidden="1" customHeight="1" x14ac:dyDescent="0.25">
      <c r="A162" s="354">
        <v>1</v>
      </c>
      <c r="B162" s="131" t="e">
        <f t="shared" si="8"/>
        <v>#REF!</v>
      </c>
      <c r="C162" s="505" t="s">
        <v>9</v>
      </c>
      <c r="D162" s="33"/>
      <c r="E162" s="506">
        <f>SUM(E160:E161)</f>
        <v>806</v>
      </c>
      <c r="F162" s="158">
        <f>H162/E162</f>
        <v>4.7146401985111659</v>
      </c>
      <c r="G162" s="31">
        <f>G160+G161</f>
        <v>13</v>
      </c>
      <c r="H162" s="31">
        <f>H160+H161</f>
        <v>3800</v>
      </c>
    </row>
    <row r="163" spans="1:8" ht="15.75" hidden="1" customHeight="1" x14ac:dyDescent="0.25">
      <c r="A163" s="354">
        <v>1</v>
      </c>
      <c r="B163" s="131" t="e">
        <f t="shared" si="8"/>
        <v>#REF!</v>
      </c>
      <c r="C163" s="298" t="s">
        <v>89</v>
      </c>
      <c r="D163" s="507"/>
      <c r="E163" s="508">
        <f>E162</f>
        <v>806</v>
      </c>
      <c r="F163" s="158">
        <f>H163/E163</f>
        <v>4.7146401985111659</v>
      </c>
      <c r="G163" s="29">
        <f>G162</f>
        <v>13</v>
      </c>
      <c r="H163" s="29">
        <f>H162</f>
        <v>3800</v>
      </c>
    </row>
    <row r="164" spans="1:8" s="51" customFormat="1" ht="16.5" hidden="1" customHeight="1" thickBot="1" x14ac:dyDescent="0.3">
      <c r="A164" s="354">
        <v>1</v>
      </c>
      <c r="B164" s="131" t="e">
        <f t="shared" si="8"/>
        <v>#REF!</v>
      </c>
      <c r="C164" s="509" t="s">
        <v>213</v>
      </c>
      <c r="D164" s="510"/>
      <c r="E164" s="511"/>
      <c r="F164" s="510"/>
      <c r="G164" s="510"/>
      <c r="H164" s="510"/>
    </row>
    <row r="165" spans="1:8" ht="47.25" customHeight="1" x14ac:dyDescent="0.25">
      <c r="A165" s="354">
        <v>1</v>
      </c>
      <c r="B165" s="131" t="e">
        <f t="shared" si="8"/>
        <v>#REF!</v>
      </c>
      <c r="C165" s="686" t="s">
        <v>349</v>
      </c>
      <c r="D165" s="471"/>
      <c r="E165" s="493"/>
      <c r="F165" s="494"/>
      <c r="G165" s="494"/>
      <c r="H165" s="494"/>
    </row>
    <row r="166" spans="1:8" ht="15.75" customHeight="1" x14ac:dyDescent="0.25">
      <c r="A166" s="354">
        <v>1</v>
      </c>
      <c r="B166" s="131" t="e">
        <f t="shared" si="8"/>
        <v>#REF!</v>
      </c>
      <c r="C166" s="499" t="s">
        <v>4</v>
      </c>
      <c r="D166" s="52"/>
      <c r="E166" s="53"/>
      <c r="F166" s="2"/>
      <c r="G166" s="2"/>
      <c r="H166" s="2"/>
    </row>
    <row r="167" spans="1:8" ht="15.75" customHeight="1" x14ac:dyDescent="0.25">
      <c r="A167" s="354">
        <v>1</v>
      </c>
      <c r="B167" s="131" t="e">
        <f t="shared" si="8"/>
        <v>#REF!</v>
      </c>
      <c r="C167" s="500" t="s">
        <v>23</v>
      </c>
      <c r="D167" s="52">
        <v>320</v>
      </c>
      <c r="E167" s="53"/>
      <c r="F167" s="47">
        <v>10.5</v>
      </c>
      <c r="G167" s="2">
        <f>ROUND(H167/D167,0)</f>
        <v>0</v>
      </c>
      <c r="H167" s="2">
        <f>ROUND(E167*F167,0)</f>
        <v>0</v>
      </c>
    </row>
    <row r="168" spans="1:8" ht="15.75" customHeight="1" x14ac:dyDescent="0.25">
      <c r="A168" s="354">
        <v>1</v>
      </c>
      <c r="B168" s="131" t="e">
        <f t="shared" si="8"/>
        <v>#REF!</v>
      </c>
      <c r="C168" s="500" t="s">
        <v>24</v>
      </c>
      <c r="D168" s="52">
        <v>320</v>
      </c>
      <c r="E168" s="53">
        <v>1793</v>
      </c>
      <c r="F168" s="47">
        <v>11.6</v>
      </c>
      <c r="G168" s="2">
        <f>ROUND(H168/D168,0)</f>
        <v>65</v>
      </c>
      <c r="H168" s="2">
        <f>ROUND(E168*F168,0)</f>
        <v>20799</v>
      </c>
    </row>
    <row r="169" spans="1:8" ht="15.75" customHeight="1" x14ac:dyDescent="0.25">
      <c r="A169" s="354">
        <v>1</v>
      </c>
      <c r="B169" s="131" t="e">
        <f t="shared" si="8"/>
        <v>#REF!</v>
      </c>
      <c r="C169" s="500" t="s">
        <v>13</v>
      </c>
      <c r="D169" s="52">
        <v>320</v>
      </c>
      <c r="E169" s="53"/>
      <c r="F169" s="47">
        <v>12</v>
      </c>
      <c r="G169" s="2">
        <f>ROUND(H169/D169,0)</f>
        <v>0</v>
      </c>
      <c r="H169" s="2">
        <f>ROUND(E169*F169,0)</f>
        <v>0</v>
      </c>
    </row>
    <row r="170" spans="1:8" ht="15.75" customHeight="1" x14ac:dyDescent="0.25">
      <c r="A170" s="354">
        <v>1</v>
      </c>
      <c r="B170" s="131" t="e">
        <f t="shared" si="8"/>
        <v>#REF!</v>
      </c>
      <c r="C170" s="526" t="s">
        <v>5</v>
      </c>
      <c r="D170" s="63"/>
      <c r="E170" s="508">
        <v>1793</v>
      </c>
      <c r="F170" s="158">
        <f>H170/E170</f>
        <v>11.600111544896821</v>
      </c>
      <c r="G170" s="29">
        <f>G167+G168+G169</f>
        <v>65</v>
      </c>
      <c r="H170" s="29">
        <f>H167+H168+H169</f>
        <v>20799</v>
      </c>
    </row>
    <row r="171" spans="1:8" s="55" customFormat="1" ht="48" customHeight="1" x14ac:dyDescent="0.25">
      <c r="A171" s="354">
        <v>1</v>
      </c>
      <c r="B171" s="131" t="e">
        <f t="shared" si="8"/>
        <v>#REF!</v>
      </c>
      <c r="C171" s="128" t="s">
        <v>250</v>
      </c>
      <c r="D171" s="12"/>
      <c r="E171" s="512"/>
      <c r="F171" s="54"/>
      <c r="G171" s="54"/>
      <c r="H171" s="54"/>
    </row>
    <row r="172" spans="1:8" s="55" customFormat="1" ht="15.75" customHeight="1" x14ac:dyDescent="0.25">
      <c r="A172" s="354">
        <v>1</v>
      </c>
      <c r="B172" s="131" t="e">
        <f t="shared" si="8"/>
        <v>#REF!</v>
      </c>
      <c r="C172" s="14" t="s">
        <v>192</v>
      </c>
      <c r="D172" s="12"/>
      <c r="E172" s="512">
        <f>E174+E176+E175+E177</f>
        <v>17075</v>
      </c>
      <c r="F172" s="54"/>
      <c r="G172" s="54"/>
      <c r="H172" s="54"/>
    </row>
    <row r="173" spans="1:8" s="55" customFormat="1" ht="15.75" customHeight="1" x14ac:dyDescent="0.25">
      <c r="A173" s="354">
        <v>1</v>
      </c>
      <c r="B173" s="131" t="e">
        <f t="shared" si="8"/>
        <v>#REF!</v>
      </c>
      <c r="C173" s="18" t="s">
        <v>116</v>
      </c>
      <c r="D173" s="12"/>
      <c r="E173" s="512"/>
      <c r="F173" s="54"/>
      <c r="G173" s="54"/>
      <c r="H173" s="54"/>
    </row>
    <row r="174" spans="1:8" s="55" customFormat="1" ht="30" customHeight="1" x14ac:dyDescent="0.25">
      <c r="A174" s="354">
        <v>1</v>
      </c>
      <c r="B174" s="131" t="e">
        <f t="shared" si="8"/>
        <v>#REF!</v>
      </c>
      <c r="C174" s="15" t="s">
        <v>397</v>
      </c>
      <c r="D174" s="12"/>
      <c r="E174" s="56">
        <v>11675</v>
      </c>
      <c r="F174" s="54"/>
      <c r="G174" s="54"/>
      <c r="H174" s="54"/>
    </row>
    <row r="175" spans="1:8" s="55" customFormat="1" ht="45" customHeight="1" x14ac:dyDescent="0.25">
      <c r="A175" s="354">
        <v>1</v>
      </c>
      <c r="B175" s="131" t="e">
        <f t="shared" si="8"/>
        <v>#REF!</v>
      </c>
      <c r="C175" s="15" t="s">
        <v>398</v>
      </c>
      <c r="D175" s="12"/>
      <c r="E175" s="512"/>
      <c r="F175" s="54"/>
      <c r="G175" s="54"/>
      <c r="H175" s="54"/>
    </row>
    <row r="176" spans="1:8" s="55" customFormat="1" ht="45" customHeight="1" x14ac:dyDescent="0.25">
      <c r="A176" s="354">
        <v>1</v>
      </c>
      <c r="B176" s="131" t="e">
        <f t="shared" si="8"/>
        <v>#REF!</v>
      </c>
      <c r="C176" s="15" t="s">
        <v>399</v>
      </c>
      <c r="D176" s="12"/>
      <c r="E176" s="56">
        <v>4650</v>
      </c>
      <c r="F176" s="54"/>
      <c r="G176" s="54"/>
      <c r="H176" s="54"/>
    </row>
    <row r="177" spans="1:8" s="55" customFormat="1" ht="75" customHeight="1" x14ac:dyDescent="0.25">
      <c r="A177" s="354">
        <v>1</v>
      </c>
      <c r="B177" s="131" t="e">
        <f t="shared" si="8"/>
        <v>#REF!</v>
      </c>
      <c r="C177" s="15" t="s">
        <v>400</v>
      </c>
      <c r="D177" s="12"/>
      <c r="E177" s="56">
        <v>750</v>
      </c>
      <c r="F177" s="54"/>
      <c r="G177" s="54"/>
      <c r="H177" s="54"/>
    </row>
    <row r="178" spans="1:8" s="55" customFormat="1" ht="15.75" customHeight="1" x14ac:dyDescent="0.25">
      <c r="A178" s="354">
        <v>1</v>
      </c>
      <c r="B178" s="131" t="e">
        <f t="shared" si="8"/>
        <v>#REF!</v>
      </c>
      <c r="C178" s="57" t="s">
        <v>90</v>
      </c>
      <c r="D178" s="12"/>
      <c r="E178" s="512">
        <f>E179+E180</f>
        <v>20014</v>
      </c>
      <c r="F178" s="54"/>
      <c r="G178" s="54"/>
      <c r="H178" s="54"/>
    </row>
    <row r="179" spans="1:8" s="55" customFormat="1" ht="15.75" customHeight="1" x14ac:dyDescent="0.25">
      <c r="A179" s="354">
        <v>1</v>
      </c>
      <c r="B179" s="131" t="e">
        <f t="shared" si="8"/>
        <v>#REF!</v>
      </c>
      <c r="C179" s="19" t="s">
        <v>145</v>
      </c>
      <c r="D179" s="12"/>
      <c r="E179" s="56">
        <v>17413</v>
      </c>
      <c r="F179" s="54"/>
      <c r="G179" s="54"/>
      <c r="H179" s="54"/>
    </row>
    <row r="180" spans="1:8" s="55" customFormat="1" ht="45" x14ac:dyDescent="0.25">
      <c r="A180" s="354">
        <v>1</v>
      </c>
      <c r="B180" s="131" t="e">
        <f t="shared" si="8"/>
        <v>#REF!</v>
      </c>
      <c r="C180" s="19" t="s">
        <v>414</v>
      </c>
      <c r="D180" s="12"/>
      <c r="E180" s="56">
        <v>2601</v>
      </c>
      <c r="F180" s="54"/>
      <c r="G180" s="54"/>
      <c r="H180" s="54"/>
    </row>
    <row r="181" spans="1:8" s="55" customFormat="1" ht="15.75" customHeight="1" x14ac:dyDescent="0.25">
      <c r="A181" s="354">
        <v>1</v>
      </c>
      <c r="B181" s="131" t="e">
        <f t="shared" si="8"/>
        <v>#REF!</v>
      </c>
      <c r="C181" s="12" t="s">
        <v>98</v>
      </c>
      <c r="D181" s="12"/>
      <c r="E181" s="56"/>
      <c r="F181" s="54"/>
      <c r="G181" s="54"/>
      <c r="H181" s="54"/>
    </row>
    <row r="182" spans="1:8" s="55" customFormat="1" ht="47.25" customHeight="1" x14ac:dyDescent="0.25">
      <c r="A182" s="354">
        <v>1</v>
      </c>
      <c r="B182" s="131" t="e">
        <f t="shared" si="8"/>
        <v>#REF!</v>
      </c>
      <c r="C182" s="58" t="s">
        <v>336</v>
      </c>
      <c r="D182" s="12"/>
      <c r="E182" s="512">
        <f>E183+E188</f>
        <v>11813</v>
      </c>
      <c r="F182" s="54"/>
      <c r="G182" s="54"/>
      <c r="H182" s="54"/>
    </row>
    <row r="183" spans="1:8" s="55" customFormat="1" ht="20.25" customHeight="1" x14ac:dyDescent="0.25">
      <c r="A183" s="354">
        <v>1</v>
      </c>
      <c r="B183" s="131" t="e">
        <f t="shared" si="8"/>
        <v>#REF!</v>
      </c>
      <c r="C183" s="16" t="s">
        <v>193</v>
      </c>
      <c r="D183" s="12"/>
      <c r="E183" s="512">
        <f>SUM(E184:E187)</f>
        <v>154</v>
      </c>
      <c r="F183" s="54"/>
      <c r="G183" s="54"/>
      <c r="H183" s="54"/>
    </row>
    <row r="184" spans="1:8" s="55" customFormat="1" ht="33" customHeight="1" x14ac:dyDescent="0.25">
      <c r="A184" s="354">
        <v>1</v>
      </c>
      <c r="B184" s="131" t="e">
        <f t="shared" si="8"/>
        <v>#REF!</v>
      </c>
      <c r="C184" s="15" t="s">
        <v>334</v>
      </c>
      <c r="D184" s="12"/>
      <c r="E184" s="512"/>
      <c r="F184" s="54"/>
      <c r="G184" s="54"/>
      <c r="H184" s="54"/>
    </row>
    <row r="185" spans="1:8" s="55" customFormat="1" ht="45" customHeight="1" x14ac:dyDescent="0.25">
      <c r="A185" s="354">
        <v>1</v>
      </c>
      <c r="B185" s="131" t="e">
        <f t="shared" si="8"/>
        <v>#REF!</v>
      </c>
      <c r="C185" s="15" t="s">
        <v>335</v>
      </c>
      <c r="D185" s="12"/>
      <c r="E185" s="512"/>
      <c r="F185" s="54"/>
      <c r="G185" s="54"/>
      <c r="H185" s="54"/>
    </row>
    <row r="186" spans="1:8" s="55" customFormat="1" ht="30" customHeight="1" x14ac:dyDescent="0.25">
      <c r="A186" s="354">
        <v>1</v>
      </c>
      <c r="B186" s="131" t="e">
        <f t="shared" si="8"/>
        <v>#REF!</v>
      </c>
      <c r="C186" s="15" t="s">
        <v>382</v>
      </c>
      <c r="D186" s="12"/>
      <c r="E186" s="56">
        <v>80</v>
      </c>
      <c r="F186" s="54"/>
      <c r="G186" s="54"/>
      <c r="H186" s="54"/>
    </row>
    <row r="187" spans="1:8" s="55" customFormat="1" ht="30" customHeight="1" x14ac:dyDescent="0.25">
      <c r="A187" s="354">
        <v>1</v>
      </c>
      <c r="B187" s="131" t="e">
        <f t="shared" si="8"/>
        <v>#REF!</v>
      </c>
      <c r="C187" s="15" t="s">
        <v>383</v>
      </c>
      <c r="D187" s="12"/>
      <c r="E187" s="56">
        <v>74</v>
      </c>
      <c r="F187" s="54"/>
      <c r="G187" s="54"/>
      <c r="H187" s="54"/>
    </row>
    <row r="188" spans="1:8" s="55" customFormat="1" ht="30" customHeight="1" x14ac:dyDescent="0.25">
      <c r="A188" s="354">
        <v>1</v>
      </c>
      <c r="B188" s="131" t="e">
        <f t="shared" si="8"/>
        <v>#REF!</v>
      </c>
      <c r="C188" s="16" t="s">
        <v>194</v>
      </c>
      <c r="D188" s="12"/>
      <c r="E188" s="512">
        <f>SUM(E189:E191)</f>
        <v>11659</v>
      </c>
      <c r="F188" s="54"/>
      <c r="G188" s="54"/>
      <c r="H188" s="54"/>
    </row>
    <row r="189" spans="1:8" s="55" customFormat="1" ht="30" customHeight="1" x14ac:dyDescent="0.25">
      <c r="A189" s="354">
        <v>1</v>
      </c>
      <c r="B189" s="131" t="e">
        <f t="shared" si="8"/>
        <v>#REF!</v>
      </c>
      <c r="C189" s="15" t="s">
        <v>384</v>
      </c>
      <c r="D189" s="12"/>
      <c r="E189" s="512"/>
      <c r="F189" s="54"/>
      <c r="G189" s="54"/>
      <c r="H189" s="54"/>
    </row>
    <row r="190" spans="1:8" s="55" customFormat="1" ht="45" customHeight="1" x14ac:dyDescent="0.25">
      <c r="A190" s="354">
        <v>1</v>
      </c>
      <c r="B190" s="131" t="e">
        <f t="shared" si="8"/>
        <v>#REF!</v>
      </c>
      <c r="C190" s="15" t="s">
        <v>385</v>
      </c>
      <c r="D190" s="12"/>
      <c r="E190" s="56">
        <v>8964</v>
      </c>
      <c r="F190" s="54"/>
      <c r="G190" s="54"/>
      <c r="H190" s="54"/>
    </row>
    <row r="191" spans="1:8" s="55" customFormat="1" ht="45" customHeight="1" x14ac:dyDescent="0.25">
      <c r="A191" s="354">
        <v>1</v>
      </c>
      <c r="B191" s="131" t="e">
        <f t="shared" si="8"/>
        <v>#REF!</v>
      </c>
      <c r="C191" s="15" t="s">
        <v>386</v>
      </c>
      <c r="D191" s="12"/>
      <c r="E191" s="56">
        <v>2695</v>
      </c>
      <c r="F191" s="54"/>
      <c r="G191" s="54"/>
      <c r="H191" s="54"/>
    </row>
    <row r="192" spans="1:8" s="55" customFormat="1" ht="43.5" customHeight="1" x14ac:dyDescent="0.25">
      <c r="A192" s="354">
        <v>1</v>
      </c>
      <c r="B192" s="131" t="e">
        <f t="shared" si="8"/>
        <v>#REF!</v>
      </c>
      <c r="C192" s="14" t="s">
        <v>258</v>
      </c>
      <c r="D192" s="12"/>
      <c r="E192" s="512">
        <f>E193+E194+E199+E200+E198+E201*10</f>
        <v>18250</v>
      </c>
      <c r="F192" s="54"/>
      <c r="G192" s="54"/>
      <c r="H192" s="54"/>
    </row>
    <row r="193" spans="1:8" s="55" customFormat="1" ht="15.75" customHeight="1" x14ac:dyDescent="0.25">
      <c r="A193" s="354">
        <v>1</v>
      </c>
      <c r="B193" s="131" t="e">
        <f t="shared" si="8"/>
        <v>#REF!</v>
      </c>
      <c r="C193" s="15" t="s">
        <v>252</v>
      </c>
      <c r="D193" s="59"/>
      <c r="E193" s="60"/>
      <c r="F193" s="54"/>
      <c r="G193" s="54"/>
      <c r="H193" s="54"/>
    </row>
    <row r="194" spans="1:8" s="55" customFormat="1" ht="30" customHeight="1" x14ac:dyDescent="0.25">
      <c r="A194" s="354">
        <v>1</v>
      </c>
      <c r="B194" s="131" t="e">
        <f t="shared" si="8"/>
        <v>#REF!</v>
      </c>
      <c r="C194" s="16" t="s">
        <v>388</v>
      </c>
      <c r="D194" s="59"/>
      <c r="E194" s="60">
        <f>E195+E197</f>
        <v>15800</v>
      </c>
      <c r="F194" s="54"/>
      <c r="G194" s="54"/>
      <c r="H194" s="54"/>
    </row>
    <row r="195" spans="1:8" s="145" customFormat="1" ht="15.75" customHeight="1" x14ac:dyDescent="0.25">
      <c r="A195" s="354">
        <v>1</v>
      </c>
      <c r="B195" s="131" t="e">
        <f t="shared" si="8"/>
        <v>#REF!</v>
      </c>
      <c r="C195" s="15" t="s">
        <v>389</v>
      </c>
      <c r="D195" s="13"/>
      <c r="E195" s="17">
        <v>15000</v>
      </c>
      <c r="F195" s="10"/>
      <c r="G195" s="10"/>
      <c r="H195" s="10"/>
    </row>
    <row r="196" spans="1:8" s="55" customFormat="1" ht="30" customHeight="1" x14ac:dyDescent="0.25">
      <c r="A196" s="354">
        <v>1</v>
      </c>
      <c r="B196" s="131" t="e">
        <f t="shared" si="8"/>
        <v>#REF!</v>
      </c>
      <c r="C196" s="15" t="s">
        <v>390</v>
      </c>
      <c r="D196" s="59"/>
      <c r="E196" s="53"/>
      <c r="F196" s="54"/>
      <c r="G196" s="54"/>
      <c r="H196" s="54"/>
    </row>
    <row r="197" spans="1:8" s="55" customFormat="1" ht="45" customHeight="1" x14ac:dyDescent="0.25">
      <c r="A197" s="354">
        <v>1</v>
      </c>
      <c r="B197" s="131" t="e">
        <f t="shared" si="8"/>
        <v>#REF!</v>
      </c>
      <c r="C197" s="15" t="s">
        <v>391</v>
      </c>
      <c r="D197" s="59"/>
      <c r="E197" s="53">
        <v>800</v>
      </c>
      <c r="F197" s="54"/>
      <c r="G197" s="54"/>
      <c r="H197" s="54"/>
    </row>
    <row r="198" spans="1:8" s="55" customFormat="1" ht="45" customHeight="1" x14ac:dyDescent="0.25">
      <c r="A198" s="354">
        <v>1</v>
      </c>
      <c r="B198" s="131" t="e">
        <f t="shared" si="8"/>
        <v>#REF!</v>
      </c>
      <c r="C198" s="15" t="s">
        <v>392</v>
      </c>
      <c r="D198" s="86"/>
      <c r="E198" s="53"/>
      <c r="F198" s="54"/>
      <c r="G198" s="54"/>
      <c r="H198" s="54"/>
    </row>
    <row r="199" spans="1:8" s="55" customFormat="1" ht="45" customHeight="1" x14ac:dyDescent="0.25">
      <c r="A199" s="354">
        <v>1</v>
      </c>
      <c r="B199" s="131" t="e">
        <f t="shared" si="8"/>
        <v>#REF!</v>
      </c>
      <c r="C199" s="15" t="s">
        <v>393</v>
      </c>
      <c r="D199" s="277"/>
      <c r="E199" s="53">
        <v>2000</v>
      </c>
      <c r="F199" s="54"/>
      <c r="G199" s="54"/>
      <c r="H199" s="54"/>
    </row>
    <row r="200" spans="1:8" s="55" customFormat="1" ht="75" customHeight="1" x14ac:dyDescent="0.25">
      <c r="A200" s="354">
        <v>1</v>
      </c>
      <c r="B200" s="131" t="e">
        <f t="shared" si="8"/>
        <v>#REF!</v>
      </c>
      <c r="C200" s="18" t="s">
        <v>394</v>
      </c>
      <c r="D200" s="61"/>
      <c r="E200" s="60"/>
      <c r="F200" s="62"/>
      <c r="G200" s="62"/>
      <c r="H200" s="43"/>
    </row>
    <row r="201" spans="1:8" s="55" customFormat="1" ht="33" customHeight="1" x14ac:dyDescent="0.25">
      <c r="A201" s="354"/>
      <c r="B201" s="131"/>
      <c r="C201" s="617" t="s">
        <v>422</v>
      </c>
      <c r="D201" s="78"/>
      <c r="E201" s="527">
        <f>E202</f>
        <v>45</v>
      </c>
      <c r="F201" s="77"/>
      <c r="G201" s="77"/>
      <c r="H201" s="43"/>
    </row>
    <row r="202" spans="1:8" s="55" customFormat="1" ht="25.5" customHeight="1" x14ac:dyDescent="0.25">
      <c r="A202" s="354"/>
      <c r="B202" s="131"/>
      <c r="C202" s="18" t="s">
        <v>425</v>
      </c>
      <c r="D202" s="61"/>
      <c r="E202" s="68">
        <v>45</v>
      </c>
      <c r="F202" s="62"/>
      <c r="G202" s="62"/>
      <c r="H202" s="43"/>
    </row>
    <row r="203" spans="1:8" s="55" customFormat="1" ht="29.25" customHeight="1" x14ac:dyDescent="0.25">
      <c r="A203" s="354">
        <v>1</v>
      </c>
      <c r="B203" s="131" t="e">
        <f>B200+1</f>
        <v>#REF!</v>
      </c>
      <c r="C203" s="14" t="s">
        <v>260</v>
      </c>
      <c r="D203" s="13"/>
      <c r="E203" s="53">
        <f>E204</f>
        <v>8000</v>
      </c>
      <c r="F203" s="62"/>
      <c r="G203" s="62"/>
      <c r="H203" s="43"/>
    </row>
    <row r="204" spans="1:8" s="55" customFormat="1" ht="15.75" customHeight="1" x14ac:dyDescent="0.25">
      <c r="A204" s="354">
        <v>1</v>
      </c>
      <c r="B204" s="131" t="e">
        <f t="shared" si="8"/>
        <v>#REF!</v>
      </c>
      <c r="C204" s="14" t="s">
        <v>254</v>
      </c>
      <c r="D204" s="13"/>
      <c r="E204" s="53">
        <v>8000</v>
      </c>
      <c r="F204" s="62"/>
      <c r="G204" s="62"/>
      <c r="H204" s="43"/>
    </row>
    <row r="205" spans="1:8" s="55" customFormat="1" ht="15.75" customHeight="1" x14ac:dyDescent="0.25">
      <c r="A205" s="354">
        <v>1</v>
      </c>
      <c r="B205" s="131" t="e">
        <f t="shared" si="8"/>
        <v>#REF!</v>
      </c>
      <c r="C205" s="15" t="s">
        <v>255</v>
      </c>
      <c r="D205" s="13"/>
      <c r="E205" s="53"/>
      <c r="F205" s="62"/>
      <c r="G205" s="62"/>
      <c r="H205" s="43"/>
    </row>
    <row r="206" spans="1:8" s="55" customFormat="1" ht="29.25" customHeight="1" x14ac:dyDescent="0.25">
      <c r="A206" s="354">
        <v>1</v>
      </c>
      <c r="B206" s="131" t="e">
        <f t="shared" si="8"/>
        <v>#REF!</v>
      </c>
      <c r="C206" s="14" t="s">
        <v>256</v>
      </c>
      <c r="D206" s="13"/>
      <c r="E206" s="53">
        <v>8700</v>
      </c>
      <c r="F206" s="62"/>
      <c r="G206" s="62"/>
      <c r="H206" s="43"/>
    </row>
    <row r="207" spans="1:8" s="55" customFormat="1" ht="15.75" customHeight="1" x14ac:dyDescent="0.25">
      <c r="A207" s="354">
        <v>1</v>
      </c>
      <c r="B207" s="131" t="e">
        <f t="shared" si="8"/>
        <v>#REF!</v>
      </c>
      <c r="C207" s="19" t="s">
        <v>117</v>
      </c>
      <c r="D207" s="13"/>
      <c r="E207" s="60"/>
      <c r="F207" s="62"/>
      <c r="G207" s="62"/>
      <c r="H207" s="43"/>
    </row>
    <row r="208" spans="1:8" s="55" customFormat="1" ht="57.75" customHeight="1" x14ac:dyDescent="0.25">
      <c r="A208" s="354">
        <v>1</v>
      </c>
      <c r="B208" s="131" t="e">
        <f t="shared" si="8"/>
        <v>#REF!</v>
      </c>
      <c r="C208" s="21" t="s">
        <v>259</v>
      </c>
      <c r="D208" s="13"/>
      <c r="E208" s="60"/>
      <c r="F208" s="62"/>
      <c r="G208" s="62"/>
      <c r="H208" s="43"/>
    </row>
    <row r="209" spans="1:8" s="55" customFormat="1" ht="15.75" customHeight="1" x14ac:dyDescent="0.25">
      <c r="A209" s="354">
        <v>1</v>
      </c>
      <c r="B209" s="131" t="e">
        <f t="shared" si="8"/>
        <v>#REF!</v>
      </c>
      <c r="C209" s="20" t="s">
        <v>165</v>
      </c>
      <c r="D209" s="13"/>
      <c r="E209" s="513">
        <f>SUM(E210:E218)</f>
        <v>25200</v>
      </c>
      <c r="F209" s="62"/>
      <c r="G209" s="62"/>
      <c r="H209" s="43"/>
    </row>
    <row r="210" spans="1:8" s="55" customFormat="1" ht="30" customHeight="1" x14ac:dyDescent="0.25">
      <c r="A210" s="354">
        <v>1</v>
      </c>
      <c r="B210" s="131" t="e">
        <f t="shared" ref="B210:B274" si="9">B209+1</f>
        <v>#REF!</v>
      </c>
      <c r="C210" s="514" t="s">
        <v>124</v>
      </c>
      <c r="D210" s="13"/>
      <c r="E210" s="53">
        <v>12000</v>
      </c>
      <c r="F210" s="373"/>
      <c r="G210" s="373"/>
      <c r="H210" s="29"/>
    </row>
    <row r="211" spans="1:8" s="55" customFormat="1" ht="15.75" customHeight="1" x14ac:dyDescent="0.25">
      <c r="A211" s="354">
        <v>1</v>
      </c>
      <c r="B211" s="131" t="e">
        <f t="shared" si="9"/>
        <v>#REF!</v>
      </c>
      <c r="C211" s="515" t="s">
        <v>16</v>
      </c>
      <c r="D211" s="13"/>
      <c r="E211" s="53">
        <v>4500</v>
      </c>
      <c r="F211" s="373"/>
      <c r="G211" s="373"/>
      <c r="H211" s="29"/>
    </row>
    <row r="212" spans="1:8" s="55" customFormat="1" ht="15.75" customHeight="1" x14ac:dyDescent="0.25">
      <c r="A212" s="354">
        <v>1</v>
      </c>
      <c r="B212" s="131" t="e">
        <f t="shared" si="9"/>
        <v>#REF!</v>
      </c>
      <c r="C212" s="515" t="s">
        <v>50</v>
      </c>
      <c r="D212" s="13"/>
      <c r="E212" s="53">
        <v>3700</v>
      </c>
      <c r="F212" s="373"/>
      <c r="G212" s="373"/>
      <c r="H212" s="29"/>
    </row>
    <row r="213" spans="1:8" s="55" customFormat="1" ht="15.75" customHeight="1" x14ac:dyDescent="0.25">
      <c r="A213" s="354">
        <v>1</v>
      </c>
      <c r="B213" s="131" t="e">
        <f t="shared" si="9"/>
        <v>#REF!</v>
      </c>
      <c r="C213" s="515" t="s">
        <v>52</v>
      </c>
      <c r="D213" s="13"/>
      <c r="E213" s="53">
        <v>100</v>
      </c>
      <c r="F213" s="373"/>
      <c r="G213" s="373"/>
      <c r="H213" s="29"/>
    </row>
    <row r="214" spans="1:8" s="55" customFormat="1" ht="15.75" customHeight="1" x14ac:dyDescent="0.25">
      <c r="A214" s="354">
        <v>1</v>
      </c>
      <c r="B214" s="131" t="e">
        <f t="shared" si="9"/>
        <v>#REF!</v>
      </c>
      <c r="C214" s="773" t="s">
        <v>188</v>
      </c>
      <c r="D214" s="13"/>
      <c r="E214" s="53">
        <v>1500</v>
      </c>
      <c r="F214" s="373"/>
      <c r="G214" s="373"/>
      <c r="H214" s="29"/>
    </row>
    <row r="215" spans="1:8" s="55" customFormat="1" ht="19.5" customHeight="1" x14ac:dyDescent="0.25">
      <c r="A215" s="354">
        <v>1</v>
      </c>
      <c r="B215" s="131" t="e">
        <f t="shared" si="9"/>
        <v>#REF!</v>
      </c>
      <c r="C215" s="147" t="s">
        <v>205</v>
      </c>
      <c r="D215" s="13"/>
      <c r="E215" s="68">
        <v>1500</v>
      </c>
      <c r="F215" s="373"/>
      <c r="G215" s="373"/>
      <c r="H215" s="29"/>
    </row>
    <row r="216" spans="1:8" s="55" customFormat="1" ht="15.75" customHeight="1" x14ac:dyDescent="0.25">
      <c r="A216" s="354">
        <v>1</v>
      </c>
      <c r="B216" s="131" t="e">
        <f t="shared" si="9"/>
        <v>#REF!</v>
      </c>
      <c r="C216" s="147" t="s">
        <v>15</v>
      </c>
      <c r="D216" s="13"/>
      <c r="E216" s="68">
        <v>200</v>
      </c>
      <c r="F216" s="373"/>
      <c r="G216" s="373"/>
      <c r="H216" s="29"/>
    </row>
    <row r="217" spans="1:8" s="55" customFormat="1" ht="15.75" customHeight="1" x14ac:dyDescent="0.25">
      <c r="A217" s="354">
        <v>1</v>
      </c>
      <c r="B217" s="131" t="e">
        <f t="shared" si="9"/>
        <v>#REF!</v>
      </c>
      <c r="C217" s="516" t="s">
        <v>119</v>
      </c>
      <c r="D217" s="13"/>
      <c r="E217" s="68">
        <v>1500</v>
      </c>
      <c r="F217" s="373"/>
      <c r="G217" s="373"/>
      <c r="H217" s="29"/>
    </row>
    <row r="218" spans="1:8" s="55" customFormat="1" ht="15.75" customHeight="1" x14ac:dyDescent="0.25">
      <c r="A218" s="354">
        <v>1</v>
      </c>
      <c r="B218" s="131" t="e">
        <f t="shared" si="9"/>
        <v>#REF!</v>
      </c>
      <c r="C218" s="516" t="s">
        <v>51</v>
      </c>
      <c r="D218" s="13"/>
      <c r="E218" s="68">
        <v>200</v>
      </c>
      <c r="F218" s="373"/>
      <c r="G218" s="373"/>
      <c r="H218" s="29"/>
    </row>
    <row r="219" spans="1:8" s="55" customFormat="1" ht="15.75" customHeight="1" x14ac:dyDescent="0.25">
      <c r="A219" s="354"/>
      <c r="B219" s="131"/>
      <c r="C219" s="516" t="s">
        <v>434</v>
      </c>
      <c r="D219" s="13"/>
      <c r="E219" s="68"/>
      <c r="F219" s="373"/>
      <c r="G219" s="373"/>
      <c r="H219" s="29"/>
    </row>
    <row r="220" spans="1:8" s="55" customFormat="1" ht="15.75" customHeight="1" x14ac:dyDescent="0.25">
      <c r="A220" s="354">
        <v>1</v>
      </c>
      <c r="B220" s="131" t="e">
        <f>B218+1</f>
        <v>#REF!</v>
      </c>
      <c r="C220" s="21" t="s">
        <v>195</v>
      </c>
      <c r="D220" s="13"/>
      <c r="E220" s="508">
        <f>E192+E172</f>
        <v>35325</v>
      </c>
      <c r="F220" s="373"/>
      <c r="G220" s="373"/>
      <c r="H220" s="29"/>
    </row>
    <row r="221" spans="1:8" s="55" customFormat="1" ht="29.25" customHeight="1" x14ac:dyDescent="0.25">
      <c r="A221" s="354">
        <v>1</v>
      </c>
      <c r="B221" s="131" t="e">
        <f t="shared" si="9"/>
        <v>#REF!</v>
      </c>
      <c r="C221" s="21" t="s">
        <v>196</v>
      </c>
      <c r="D221" s="13"/>
      <c r="E221" s="508">
        <f>E182</f>
        <v>11813</v>
      </c>
      <c r="F221" s="373"/>
      <c r="G221" s="373"/>
      <c r="H221" s="29"/>
    </row>
    <row r="222" spans="1:8" s="55" customFormat="1" ht="15.75" customHeight="1" x14ac:dyDescent="0.25">
      <c r="A222" s="354">
        <v>1</v>
      </c>
      <c r="B222" s="131" t="e">
        <f t="shared" si="9"/>
        <v>#REF!</v>
      </c>
      <c r="C222" s="21" t="s">
        <v>197</v>
      </c>
      <c r="D222" s="13"/>
      <c r="E222" s="508">
        <f>E204+E178</f>
        <v>28014</v>
      </c>
      <c r="F222" s="373"/>
      <c r="G222" s="373"/>
      <c r="H222" s="29"/>
    </row>
    <row r="223" spans="1:8" s="55" customFormat="1" ht="29.25" customHeight="1" x14ac:dyDescent="0.25">
      <c r="A223" s="354">
        <v>1</v>
      </c>
      <c r="B223" s="131" t="e">
        <f t="shared" si="9"/>
        <v>#REF!</v>
      </c>
      <c r="C223" s="21" t="s">
        <v>198</v>
      </c>
      <c r="D223" s="517"/>
      <c r="E223" s="518">
        <f>E206</f>
        <v>8700</v>
      </c>
      <c r="F223" s="519"/>
      <c r="G223" s="519"/>
      <c r="H223" s="289"/>
    </row>
    <row r="224" spans="1:8" s="55" customFormat="1" ht="15.75" customHeight="1" x14ac:dyDescent="0.25">
      <c r="A224" s="354">
        <v>1</v>
      </c>
      <c r="B224" s="131" t="e">
        <f t="shared" si="9"/>
        <v>#REF!</v>
      </c>
      <c r="C224" s="520" t="s">
        <v>112</v>
      </c>
      <c r="D224" s="521"/>
      <c r="E224" s="522">
        <f>E220+E221+E223+E222*2.6</f>
        <v>128674.40000000001</v>
      </c>
      <c r="F224" s="523"/>
      <c r="G224" s="523"/>
      <c r="H224" s="522"/>
    </row>
    <row r="225" spans="1:8" s="51" customFormat="1" ht="15.75" customHeight="1" x14ac:dyDescent="0.25">
      <c r="A225" s="354">
        <v>1</v>
      </c>
      <c r="B225" s="131" t="e">
        <f t="shared" si="9"/>
        <v>#REF!</v>
      </c>
      <c r="C225" s="524" t="s">
        <v>7</v>
      </c>
      <c r="D225" s="303"/>
      <c r="E225" s="53"/>
      <c r="F225" s="2"/>
      <c r="G225" s="2"/>
      <c r="H225" s="2"/>
    </row>
    <row r="226" spans="1:8" s="51" customFormat="1" ht="15.75" customHeight="1" x14ac:dyDescent="0.25">
      <c r="A226" s="354">
        <v>1</v>
      </c>
      <c r="B226" s="131" t="e">
        <f t="shared" si="9"/>
        <v>#REF!</v>
      </c>
      <c r="C226" s="293" t="s">
        <v>93</v>
      </c>
      <c r="D226" s="52"/>
      <c r="E226" s="53"/>
      <c r="F226" s="2"/>
      <c r="G226" s="2"/>
      <c r="H226" s="2"/>
    </row>
    <row r="227" spans="1:8" s="51" customFormat="1" ht="15.75" customHeight="1" x14ac:dyDescent="0.25">
      <c r="A227" s="354">
        <v>1</v>
      </c>
      <c r="B227" s="131" t="e">
        <f t="shared" si="9"/>
        <v>#REF!</v>
      </c>
      <c r="C227" s="500" t="s">
        <v>13</v>
      </c>
      <c r="D227" s="52">
        <v>300</v>
      </c>
      <c r="E227" s="506">
        <v>130</v>
      </c>
      <c r="F227" s="47">
        <v>11</v>
      </c>
      <c r="G227" s="2">
        <f>ROUND(H227/D227,0)</f>
        <v>5</v>
      </c>
      <c r="H227" s="2">
        <f>ROUND(E227*F227,0)</f>
        <v>1430</v>
      </c>
    </row>
    <row r="228" spans="1:8" s="51" customFormat="1" ht="15.75" customHeight="1" x14ac:dyDescent="0.25">
      <c r="A228" s="354">
        <v>1</v>
      </c>
      <c r="B228" s="131" t="e">
        <f t="shared" si="9"/>
        <v>#REF!</v>
      </c>
      <c r="C228" s="505" t="s">
        <v>9</v>
      </c>
      <c r="D228" s="69"/>
      <c r="E228" s="506">
        <v>130</v>
      </c>
      <c r="F228" s="36">
        <f>F227</f>
        <v>11</v>
      </c>
      <c r="G228" s="31">
        <f>G227</f>
        <v>5</v>
      </c>
      <c r="H228" s="31">
        <f>H227</f>
        <v>1430</v>
      </c>
    </row>
    <row r="229" spans="1:8" s="51" customFormat="1" ht="15.75" customHeight="1" x14ac:dyDescent="0.25">
      <c r="A229" s="354">
        <v>1</v>
      </c>
      <c r="B229" s="131" t="e">
        <f t="shared" si="9"/>
        <v>#REF!</v>
      </c>
      <c r="C229" s="293" t="s">
        <v>18</v>
      </c>
      <c r="D229" s="52"/>
      <c r="E229" s="506"/>
      <c r="F229" s="36"/>
      <c r="G229" s="31"/>
      <c r="H229" s="31"/>
    </row>
    <row r="230" spans="1:8" s="51" customFormat="1" ht="15.75" customHeight="1" x14ac:dyDescent="0.25">
      <c r="A230" s="354">
        <v>1</v>
      </c>
      <c r="B230" s="131" t="e">
        <f t="shared" si="9"/>
        <v>#REF!</v>
      </c>
      <c r="C230" s="294" t="s">
        <v>24</v>
      </c>
      <c r="D230" s="52">
        <v>240</v>
      </c>
      <c r="E230" s="53">
        <v>240</v>
      </c>
      <c r="F230" s="47">
        <v>8</v>
      </c>
      <c r="G230" s="2">
        <f>ROUND(H230/D230,0)</f>
        <v>8</v>
      </c>
      <c r="H230" s="2">
        <f>ROUND(E230*F230,0)</f>
        <v>1920</v>
      </c>
    </row>
    <row r="231" spans="1:8" s="51" customFormat="1" ht="15.75" customHeight="1" x14ac:dyDescent="0.25">
      <c r="A231" s="354">
        <v>1</v>
      </c>
      <c r="B231" s="131" t="e">
        <f t="shared" si="9"/>
        <v>#REF!</v>
      </c>
      <c r="C231" s="295" t="s">
        <v>94</v>
      </c>
      <c r="D231" s="70"/>
      <c r="E231" s="506">
        <f>SUM(E230)</f>
        <v>240</v>
      </c>
      <c r="F231" s="525">
        <f>F230</f>
        <v>8</v>
      </c>
      <c r="G231" s="31">
        <f>G230</f>
        <v>8</v>
      </c>
      <c r="H231" s="31">
        <f>H230</f>
        <v>1920</v>
      </c>
    </row>
    <row r="232" spans="1:8" s="51" customFormat="1" ht="15.75" customHeight="1" x14ac:dyDescent="0.25">
      <c r="A232" s="354">
        <v>1</v>
      </c>
      <c r="B232" s="131" t="e">
        <f t="shared" si="9"/>
        <v>#REF!</v>
      </c>
      <c r="C232" s="298" t="s">
        <v>88</v>
      </c>
      <c r="D232" s="13"/>
      <c r="E232" s="508">
        <f>E228+E231</f>
        <v>370</v>
      </c>
      <c r="F232" s="158">
        <f>H232/E232</f>
        <v>9.0540540540540544</v>
      </c>
      <c r="G232" s="29">
        <f>G228+G231</f>
        <v>13</v>
      </c>
      <c r="H232" s="29">
        <f>H228+H231</f>
        <v>3350</v>
      </c>
    </row>
    <row r="233" spans="1:8" s="51" customFormat="1" ht="16.5" customHeight="1" thickBot="1" x14ac:dyDescent="0.3">
      <c r="A233" s="354">
        <v>1</v>
      </c>
      <c r="B233" s="131" t="e">
        <f t="shared" si="9"/>
        <v>#REF!</v>
      </c>
      <c r="C233" s="495" t="s">
        <v>213</v>
      </c>
      <c r="D233" s="491"/>
      <c r="E233" s="490"/>
      <c r="F233" s="491"/>
      <c r="G233" s="491"/>
      <c r="H233" s="491"/>
    </row>
    <row r="234" spans="1:8" ht="29.25" hidden="1" customHeight="1" x14ac:dyDescent="0.25">
      <c r="A234" s="354">
        <v>1</v>
      </c>
      <c r="B234" s="131" t="e">
        <f t="shared" si="9"/>
        <v>#REF!</v>
      </c>
      <c r="C234" s="686" t="s">
        <v>350</v>
      </c>
      <c r="D234" s="371"/>
      <c r="E234" s="53"/>
      <c r="F234" s="2"/>
      <c r="G234" s="2"/>
      <c r="H234" s="2"/>
    </row>
    <row r="235" spans="1:8" ht="15.75" hidden="1" customHeight="1" x14ac:dyDescent="0.25">
      <c r="A235" s="354">
        <v>1</v>
      </c>
      <c r="B235" s="131" t="e">
        <f t="shared" si="9"/>
        <v>#REF!</v>
      </c>
      <c r="C235" s="499" t="s">
        <v>4</v>
      </c>
      <c r="D235" s="52"/>
      <c r="E235" s="53"/>
      <c r="F235" s="2"/>
      <c r="G235" s="2"/>
      <c r="H235" s="2"/>
    </row>
    <row r="236" spans="1:8" ht="15.75" hidden="1" customHeight="1" x14ac:dyDescent="0.25">
      <c r="A236" s="354">
        <v>1</v>
      </c>
      <c r="B236" s="131" t="e">
        <f t="shared" si="9"/>
        <v>#REF!</v>
      </c>
      <c r="C236" s="500" t="s">
        <v>40</v>
      </c>
      <c r="D236" s="52">
        <v>320</v>
      </c>
      <c r="E236" s="53">
        <v>1760</v>
      </c>
      <c r="F236" s="47">
        <v>10.5</v>
      </c>
      <c r="G236" s="2">
        <f>ROUND(H236/D236,0)</f>
        <v>58</v>
      </c>
      <c r="H236" s="2">
        <f>ROUND(E236*F236,0)</f>
        <v>18480</v>
      </c>
    </row>
    <row r="237" spans="1:8" ht="15.75" hidden="1" customHeight="1" x14ac:dyDescent="0.25">
      <c r="A237" s="354">
        <v>1</v>
      </c>
      <c r="B237" s="131" t="e">
        <f t="shared" si="9"/>
        <v>#REF!</v>
      </c>
      <c r="C237" s="526" t="s">
        <v>5</v>
      </c>
      <c r="D237" s="52">
        <v>320</v>
      </c>
      <c r="E237" s="508">
        <f>SUM(E236)</f>
        <v>1760</v>
      </c>
      <c r="F237" s="158">
        <f>H237/E237</f>
        <v>10.5</v>
      </c>
      <c r="G237" s="29">
        <f>G236</f>
        <v>58</v>
      </c>
      <c r="H237" s="29">
        <f>H236</f>
        <v>18480</v>
      </c>
    </row>
    <row r="238" spans="1:8" s="55" customFormat="1" ht="45" hidden="1" customHeight="1" x14ac:dyDescent="0.25">
      <c r="A238" s="354">
        <v>1</v>
      </c>
      <c r="B238" s="131" t="e">
        <f t="shared" si="9"/>
        <v>#REF!</v>
      </c>
      <c r="C238" s="128" t="s">
        <v>250</v>
      </c>
      <c r="D238" s="12"/>
      <c r="E238" s="512"/>
      <c r="F238" s="54"/>
      <c r="G238" s="54"/>
      <c r="H238" s="54"/>
    </row>
    <row r="239" spans="1:8" s="55" customFormat="1" ht="15.75" hidden="1" customHeight="1" x14ac:dyDescent="0.25">
      <c r="A239" s="354">
        <v>1</v>
      </c>
      <c r="B239" s="131" t="e">
        <f t="shared" si="9"/>
        <v>#REF!</v>
      </c>
      <c r="C239" s="14" t="s">
        <v>192</v>
      </c>
      <c r="D239" s="12"/>
      <c r="E239" s="512">
        <f>E241+E242+E243+E244</f>
        <v>23500</v>
      </c>
      <c r="F239" s="54"/>
      <c r="G239" s="54"/>
      <c r="H239" s="54"/>
    </row>
    <row r="240" spans="1:8" s="55" customFormat="1" ht="15.75" hidden="1" customHeight="1" x14ac:dyDescent="0.25">
      <c r="A240" s="354">
        <v>1</v>
      </c>
      <c r="B240" s="131" t="e">
        <f t="shared" si="9"/>
        <v>#REF!</v>
      </c>
      <c r="C240" s="18" t="s">
        <v>116</v>
      </c>
      <c r="D240" s="12"/>
      <c r="E240" s="512"/>
      <c r="F240" s="54"/>
      <c r="G240" s="54"/>
      <c r="H240" s="54"/>
    </row>
    <row r="241" spans="1:8" s="55" customFormat="1" ht="30" hidden="1" customHeight="1" x14ac:dyDescent="0.25">
      <c r="A241" s="354">
        <v>1</v>
      </c>
      <c r="B241" s="131" t="e">
        <f t="shared" si="9"/>
        <v>#REF!</v>
      </c>
      <c r="C241" s="15" t="s">
        <v>397</v>
      </c>
      <c r="D241" s="12"/>
      <c r="E241" s="56">
        <v>7500</v>
      </c>
      <c r="F241" s="54"/>
      <c r="G241" s="54"/>
      <c r="H241" s="54"/>
    </row>
    <row r="242" spans="1:8" s="55" customFormat="1" ht="45" hidden="1" customHeight="1" x14ac:dyDescent="0.25">
      <c r="A242" s="354">
        <v>1</v>
      </c>
      <c r="B242" s="131" t="e">
        <f t="shared" si="9"/>
        <v>#REF!</v>
      </c>
      <c r="C242" s="15" t="s">
        <v>398</v>
      </c>
      <c r="D242" s="12"/>
      <c r="E242" s="56">
        <v>1000</v>
      </c>
      <c r="F242" s="54"/>
      <c r="G242" s="54"/>
      <c r="H242" s="54"/>
    </row>
    <row r="243" spans="1:8" s="55" customFormat="1" ht="45" hidden="1" customHeight="1" x14ac:dyDescent="0.25">
      <c r="A243" s="354">
        <v>1</v>
      </c>
      <c r="B243" s="131" t="e">
        <f t="shared" si="9"/>
        <v>#REF!</v>
      </c>
      <c r="C243" s="15" t="s">
        <v>399</v>
      </c>
      <c r="D243" s="12"/>
      <c r="E243" s="56">
        <v>15000</v>
      </c>
      <c r="F243" s="54"/>
      <c r="G243" s="54"/>
      <c r="H243" s="54"/>
    </row>
    <row r="244" spans="1:8" s="55" customFormat="1" ht="75.75" hidden="1" customHeight="1" x14ac:dyDescent="0.25">
      <c r="A244" s="354">
        <v>1</v>
      </c>
      <c r="B244" s="131" t="e">
        <f t="shared" si="9"/>
        <v>#REF!</v>
      </c>
      <c r="C244" s="15" t="s">
        <v>400</v>
      </c>
      <c r="D244" s="12"/>
      <c r="E244" s="56"/>
      <c r="F244" s="54"/>
      <c r="G244" s="54"/>
      <c r="H244" s="54"/>
    </row>
    <row r="245" spans="1:8" s="55" customFormat="1" ht="15.75" hidden="1" customHeight="1" x14ac:dyDescent="0.25">
      <c r="A245" s="354">
        <v>1</v>
      </c>
      <c r="B245" s="131" t="e">
        <f t="shared" si="9"/>
        <v>#REF!</v>
      </c>
      <c r="C245" s="57" t="s">
        <v>90</v>
      </c>
      <c r="D245" s="12"/>
      <c r="E245" s="512">
        <f>E246+E247</f>
        <v>54409</v>
      </c>
      <c r="F245" s="54"/>
      <c r="G245" s="54"/>
      <c r="H245" s="54"/>
    </row>
    <row r="246" spans="1:8" s="55" customFormat="1" ht="15.75" hidden="1" customHeight="1" x14ac:dyDescent="0.25">
      <c r="A246" s="354">
        <v>1</v>
      </c>
      <c r="B246" s="131" t="e">
        <f t="shared" si="9"/>
        <v>#REF!</v>
      </c>
      <c r="C246" s="19" t="s">
        <v>145</v>
      </c>
      <c r="D246" s="12"/>
      <c r="E246" s="56">
        <v>47500</v>
      </c>
      <c r="F246" s="54"/>
      <c r="G246" s="54"/>
      <c r="H246" s="54"/>
    </row>
    <row r="247" spans="1:8" s="55" customFormat="1" ht="45" hidden="1" x14ac:dyDescent="0.25">
      <c r="A247" s="354">
        <v>1</v>
      </c>
      <c r="B247" s="131" t="e">
        <f t="shared" si="9"/>
        <v>#REF!</v>
      </c>
      <c r="C247" s="19" t="s">
        <v>414</v>
      </c>
      <c r="D247" s="12"/>
      <c r="E247" s="56">
        <v>6909</v>
      </c>
      <c r="F247" s="54"/>
      <c r="G247" s="54"/>
      <c r="H247" s="54"/>
    </row>
    <row r="248" spans="1:8" s="55" customFormat="1" ht="15.75" hidden="1" customHeight="1" x14ac:dyDescent="0.25">
      <c r="A248" s="354">
        <v>1</v>
      </c>
      <c r="B248" s="131" t="e">
        <f t="shared" si="9"/>
        <v>#REF!</v>
      </c>
      <c r="C248" s="12" t="s">
        <v>98</v>
      </c>
      <c r="D248" s="12"/>
      <c r="E248" s="56"/>
      <c r="F248" s="54"/>
      <c r="G248" s="54"/>
      <c r="H248" s="54"/>
    </row>
    <row r="249" spans="1:8" s="55" customFormat="1" ht="47.25" hidden="1" customHeight="1" x14ac:dyDescent="0.25">
      <c r="A249" s="354">
        <v>1</v>
      </c>
      <c r="B249" s="131" t="e">
        <f t="shared" si="9"/>
        <v>#REF!</v>
      </c>
      <c r="C249" s="58" t="s">
        <v>333</v>
      </c>
      <c r="D249" s="12"/>
      <c r="E249" s="512">
        <f>E250+E255</f>
        <v>27973</v>
      </c>
      <c r="F249" s="54"/>
      <c r="G249" s="54"/>
      <c r="H249" s="54"/>
    </row>
    <row r="250" spans="1:8" s="55" customFormat="1" ht="19.5" hidden="1" customHeight="1" x14ac:dyDescent="0.25">
      <c r="A250" s="354">
        <v>1</v>
      </c>
      <c r="B250" s="131" t="e">
        <f t="shared" si="9"/>
        <v>#REF!</v>
      </c>
      <c r="C250" s="16" t="s">
        <v>193</v>
      </c>
      <c r="D250" s="12"/>
      <c r="E250" s="512">
        <f>SUM(E251:E254)</f>
        <v>273</v>
      </c>
      <c r="F250" s="54"/>
      <c r="G250" s="54"/>
      <c r="H250" s="54"/>
    </row>
    <row r="251" spans="1:8" s="55" customFormat="1" ht="42" hidden="1" customHeight="1" x14ac:dyDescent="0.25">
      <c r="A251" s="354">
        <v>1</v>
      </c>
      <c r="B251" s="131" t="e">
        <f t="shared" si="9"/>
        <v>#REF!</v>
      </c>
      <c r="C251" s="15" t="s">
        <v>334</v>
      </c>
      <c r="D251" s="12"/>
      <c r="E251" s="512"/>
      <c r="F251" s="54"/>
      <c r="G251" s="54"/>
      <c r="H251" s="54"/>
    </row>
    <row r="252" spans="1:8" s="55" customFormat="1" ht="45" hidden="1" customHeight="1" x14ac:dyDescent="0.25">
      <c r="A252" s="354">
        <v>1</v>
      </c>
      <c r="B252" s="131" t="e">
        <f t="shared" si="9"/>
        <v>#REF!</v>
      </c>
      <c r="C252" s="15" t="s">
        <v>335</v>
      </c>
      <c r="D252" s="12"/>
      <c r="E252" s="512"/>
      <c r="F252" s="54"/>
      <c r="G252" s="54"/>
      <c r="H252" s="54"/>
    </row>
    <row r="253" spans="1:8" s="55" customFormat="1" ht="30" hidden="1" customHeight="1" x14ac:dyDescent="0.25">
      <c r="A253" s="354">
        <v>1</v>
      </c>
      <c r="B253" s="131" t="e">
        <f t="shared" si="9"/>
        <v>#REF!</v>
      </c>
      <c r="C253" s="15" t="s">
        <v>382</v>
      </c>
      <c r="D253" s="12"/>
      <c r="E253" s="56">
        <v>71</v>
      </c>
      <c r="F253" s="54"/>
      <c r="G253" s="54"/>
      <c r="H253" s="54"/>
    </row>
    <row r="254" spans="1:8" s="55" customFormat="1" ht="30" hidden="1" customHeight="1" x14ac:dyDescent="0.25">
      <c r="A254" s="354">
        <v>1</v>
      </c>
      <c r="B254" s="131" t="e">
        <f t="shared" si="9"/>
        <v>#REF!</v>
      </c>
      <c r="C254" s="15" t="s">
        <v>383</v>
      </c>
      <c r="D254" s="12"/>
      <c r="E254" s="56">
        <v>202</v>
      </c>
      <c r="F254" s="54"/>
      <c r="G254" s="54"/>
      <c r="H254" s="54"/>
    </row>
    <row r="255" spans="1:8" s="55" customFormat="1" ht="30" hidden="1" customHeight="1" x14ac:dyDescent="0.25">
      <c r="A255" s="354">
        <v>1</v>
      </c>
      <c r="B255" s="131" t="e">
        <f t="shared" si="9"/>
        <v>#REF!</v>
      </c>
      <c r="C255" s="16" t="s">
        <v>194</v>
      </c>
      <c r="D255" s="12"/>
      <c r="E255" s="512">
        <f>SUM(E256:E258)</f>
        <v>27700</v>
      </c>
      <c r="F255" s="54"/>
      <c r="G255" s="54"/>
      <c r="H255" s="54"/>
    </row>
    <row r="256" spans="1:8" s="55" customFormat="1" ht="30" hidden="1" customHeight="1" x14ac:dyDescent="0.25">
      <c r="A256" s="354">
        <v>1</v>
      </c>
      <c r="B256" s="131" t="e">
        <f t="shared" si="9"/>
        <v>#REF!</v>
      </c>
      <c r="C256" s="15" t="s">
        <v>384</v>
      </c>
      <c r="D256" s="59"/>
      <c r="E256" s="60"/>
      <c r="F256" s="54"/>
      <c r="G256" s="54"/>
      <c r="H256" s="54"/>
    </row>
    <row r="257" spans="1:8" s="55" customFormat="1" ht="45" hidden="1" customHeight="1" x14ac:dyDescent="0.25">
      <c r="A257" s="354">
        <v>1</v>
      </c>
      <c r="B257" s="131" t="e">
        <f t="shared" si="9"/>
        <v>#REF!</v>
      </c>
      <c r="C257" s="15" t="s">
        <v>385</v>
      </c>
      <c r="D257" s="59"/>
      <c r="E257" s="60">
        <v>24000</v>
      </c>
      <c r="F257" s="54"/>
      <c r="G257" s="54"/>
      <c r="H257" s="54"/>
    </row>
    <row r="258" spans="1:8" s="55" customFormat="1" ht="45" hidden="1" customHeight="1" x14ac:dyDescent="0.25">
      <c r="A258" s="354">
        <v>1</v>
      </c>
      <c r="B258" s="131" t="e">
        <f t="shared" si="9"/>
        <v>#REF!</v>
      </c>
      <c r="C258" s="15" t="s">
        <v>386</v>
      </c>
      <c r="D258" s="59"/>
      <c r="E258" s="53">
        <v>3700</v>
      </c>
      <c r="F258" s="54"/>
      <c r="G258" s="54"/>
      <c r="H258" s="54"/>
    </row>
    <row r="259" spans="1:8" s="55" customFormat="1" ht="15.75" hidden="1" customHeight="1" x14ac:dyDescent="0.25">
      <c r="A259" s="354">
        <v>1</v>
      </c>
      <c r="B259" s="131" t="e">
        <f t="shared" si="9"/>
        <v>#REF!</v>
      </c>
      <c r="C259" s="14" t="s">
        <v>251</v>
      </c>
      <c r="D259" s="59"/>
      <c r="E259" s="53">
        <f>E260+E261+E265+E266+E267</f>
        <v>0</v>
      </c>
      <c r="F259" s="54"/>
      <c r="G259" s="54"/>
      <c r="H259" s="54"/>
    </row>
    <row r="260" spans="1:8" s="55" customFormat="1" ht="15.75" hidden="1" customHeight="1" x14ac:dyDescent="0.25">
      <c r="A260" s="354">
        <v>1</v>
      </c>
      <c r="B260" s="131" t="e">
        <f t="shared" si="9"/>
        <v>#REF!</v>
      </c>
      <c r="C260" s="15" t="s">
        <v>252</v>
      </c>
      <c r="D260" s="59"/>
      <c r="E260" s="53"/>
      <c r="F260" s="54"/>
      <c r="G260" s="54"/>
      <c r="H260" s="54"/>
    </row>
    <row r="261" spans="1:8" s="55" customFormat="1" ht="30" hidden="1" customHeight="1" x14ac:dyDescent="0.25">
      <c r="A261" s="354">
        <v>1</v>
      </c>
      <c r="B261" s="131" t="e">
        <f t="shared" si="9"/>
        <v>#REF!</v>
      </c>
      <c r="C261" s="16" t="s">
        <v>388</v>
      </c>
      <c r="D261" s="59"/>
      <c r="E261" s="53"/>
      <c r="F261" s="71"/>
      <c r="G261" s="71"/>
      <c r="H261" s="71"/>
    </row>
    <row r="262" spans="1:8" s="145" customFormat="1" ht="15.75" hidden="1" customHeight="1" x14ac:dyDescent="0.25">
      <c r="A262" s="354">
        <v>1</v>
      </c>
      <c r="B262" s="131" t="e">
        <f t="shared" si="9"/>
        <v>#REF!</v>
      </c>
      <c r="C262" s="15" t="s">
        <v>389</v>
      </c>
      <c r="D262" s="13"/>
      <c r="E262" s="17"/>
      <c r="F262" s="10"/>
      <c r="G262" s="10"/>
      <c r="H262" s="10"/>
    </row>
    <row r="263" spans="1:8" ht="30" hidden="1" customHeight="1" x14ac:dyDescent="0.25">
      <c r="A263" s="354">
        <v>1</v>
      </c>
      <c r="B263" s="131" t="e">
        <f t="shared" si="9"/>
        <v>#REF!</v>
      </c>
      <c r="C263" s="15" t="s">
        <v>390</v>
      </c>
      <c r="D263" s="13"/>
      <c r="E263" s="53"/>
      <c r="F263" s="2"/>
      <c r="G263" s="2"/>
      <c r="H263" s="2"/>
    </row>
    <row r="264" spans="1:8" s="55" customFormat="1" ht="45" hidden="1" customHeight="1" x14ac:dyDescent="0.25">
      <c r="A264" s="354">
        <v>1</v>
      </c>
      <c r="B264" s="131" t="e">
        <f t="shared" si="9"/>
        <v>#REF!</v>
      </c>
      <c r="C264" s="15" t="s">
        <v>391</v>
      </c>
      <c r="D264" s="277"/>
      <c r="E264" s="53"/>
      <c r="F264" s="54"/>
      <c r="G264" s="54"/>
      <c r="H264" s="54"/>
    </row>
    <row r="265" spans="1:8" s="55" customFormat="1" ht="45" hidden="1" customHeight="1" x14ac:dyDescent="0.25">
      <c r="A265" s="354">
        <v>1</v>
      </c>
      <c r="B265" s="131" t="e">
        <f t="shared" si="9"/>
        <v>#REF!</v>
      </c>
      <c r="C265" s="15" t="s">
        <v>392</v>
      </c>
      <c r="D265" s="277"/>
      <c r="E265" s="53"/>
      <c r="F265" s="54"/>
      <c r="G265" s="54"/>
      <c r="H265" s="54"/>
    </row>
    <row r="266" spans="1:8" s="55" customFormat="1" ht="45" hidden="1" customHeight="1" x14ac:dyDescent="0.25">
      <c r="A266" s="354">
        <v>1</v>
      </c>
      <c r="B266" s="131" t="e">
        <f t="shared" si="9"/>
        <v>#REF!</v>
      </c>
      <c r="C266" s="15" t="s">
        <v>393</v>
      </c>
      <c r="D266" s="13"/>
      <c r="E266" s="53"/>
      <c r="F266" s="62"/>
      <c r="G266" s="62"/>
      <c r="H266" s="43"/>
    </row>
    <row r="267" spans="1:8" s="55" customFormat="1" ht="75" hidden="1" customHeight="1" x14ac:dyDescent="0.25">
      <c r="A267" s="354">
        <v>1</v>
      </c>
      <c r="B267" s="131" t="e">
        <f t="shared" si="9"/>
        <v>#REF!</v>
      </c>
      <c r="C267" s="18" t="s">
        <v>394</v>
      </c>
      <c r="D267" s="13"/>
      <c r="E267" s="53"/>
      <c r="F267" s="62"/>
      <c r="G267" s="62"/>
      <c r="H267" s="43"/>
    </row>
    <row r="268" spans="1:8" s="55" customFormat="1" ht="15.75" hidden="1" customHeight="1" x14ac:dyDescent="0.25">
      <c r="A268" s="354">
        <v>1</v>
      </c>
      <c r="B268" s="131" t="e">
        <f t="shared" si="9"/>
        <v>#REF!</v>
      </c>
      <c r="C268" s="14" t="s">
        <v>253</v>
      </c>
      <c r="D268" s="13"/>
      <c r="E268" s="53"/>
      <c r="F268" s="62"/>
      <c r="G268" s="62"/>
      <c r="H268" s="43"/>
    </row>
    <row r="269" spans="1:8" s="55" customFormat="1" ht="15.75" hidden="1" customHeight="1" x14ac:dyDescent="0.25">
      <c r="A269" s="354">
        <v>1</v>
      </c>
      <c r="B269" s="131" t="e">
        <f t="shared" si="9"/>
        <v>#REF!</v>
      </c>
      <c r="C269" s="14" t="s">
        <v>254</v>
      </c>
      <c r="D269" s="13"/>
      <c r="E269" s="60"/>
      <c r="F269" s="62"/>
      <c r="G269" s="62"/>
      <c r="H269" s="43"/>
    </row>
    <row r="270" spans="1:8" s="55" customFormat="1" ht="15.75" hidden="1" customHeight="1" x14ac:dyDescent="0.25">
      <c r="A270" s="354">
        <v>1</v>
      </c>
      <c r="B270" s="131" t="e">
        <f t="shared" si="9"/>
        <v>#REF!</v>
      </c>
      <c r="C270" s="15" t="s">
        <v>255</v>
      </c>
      <c r="D270" s="13"/>
      <c r="E270" s="60"/>
      <c r="F270" s="62"/>
      <c r="G270" s="62"/>
      <c r="H270" s="43"/>
    </row>
    <row r="271" spans="1:8" s="55" customFormat="1" ht="29.25" hidden="1" customHeight="1" x14ac:dyDescent="0.25">
      <c r="A271" s="354">
        <v>1</v>
      </c>
      <c r="B271" s="131" t="e">
        <f t="shared" si="9"/>
        <v>#REF!</v>
      </c>
      <c r="C271" s="14" t="s">
        <v>256</v>
      </c>
      <c r="D271" s="13"/>
      <c r="E271" s="60">
        <v>16400</v>
      </c>
      <c r="F271" s="62"/>
      <c r="G271" s="62"/>
      <c r="H271" s="43"/>
    </row>
    <row r="272" spans="1:8" s="55" customFormat="1" ht="15.75" hidden="1" customHeight="1" x14ac:dyDescent="0.25">
      <c r="A272" s="354">
        <v>1</v>
      </c>
      <c r="B272" s="131" t="e">
        <f t="shared" si="9"/>
        <v>#REF!</v>
      </c>
      <c r="C272" s="19" t="s">
        <v>117</v>
      </c>
      <c r="D272" s="13"/>
      <c r="E272" s="60"/>
      <c r="F272" s="62"/>
      <c r="G272" s="62"/>
      <c r="H272" s="43"/>
    </row>
    <row r="273" spans="1:8" s="55" customFormat="1" ht="57.75" hidden="1" customHeight="1" x14ac:dyDescent="0.25">
      <c r="A273" s="354">
        <v>1</v>
      </c>
      <c r="B273" s="131" t="e">
        <f t="shared" si="9"/>
        <v>#REF!</v>
      </c>
      <c r="C273" s="14" t="s">
        <v>259</v>
      </c>
      <c r="D273" s="13"/>
      <c r="E273" s="60">
        <v>800</v>
      </c>
      <c r="F273" s="62"/>
      <c r="G273" s="62"/>
      <c r="H273" s="43"/>
    </row>
    <row r="274" spans="1:8" s="55" customFormat="1" ht="15.75" hidden="1" customHeight="1" x14ac:dyDescent="0.25">
      <c r="A274" s="354">
        <v>1</v>
      </c>
      <c r="B274" s="131" t="e">
        <f t="shared" si="9"/>
        <v>#REF!</v>
      </c>
      <c r="C274" s="20" t="s">
        <v>165</v>
      </c>
      <c r="D274" s="13"/>
      <c r="E274" s="527">
        <f>SUM(E275:E277)</f>
        <v>2240</v>
      </c>
      <c r="F274" s="62"/>
      <c r="G274" s="62"/>
      <c r="H274" s="43"/>
    </row>
    <row r="275" spans="1:8" s="55" customFormat="1" ht="18" hidden="1" customHeight="1" x14ac:dyDescent="0.25">
      <c r="A275" s="354">
        <v>1</v>
      </c>
      <c r="B275" s="131" t="e">
        <f t="shared" ref="B275:B338" si="10">B274+1</f>
        <v>#REF!</v>
      </c>
      <c r="C275" s="35" t="s">
        <v>205</v>
      </c>
      <c r="D275" s="13"/>
      <c r="E275" s="68">
        <v>2000</v>
      </c>
      <c r="F275" s="62"/>
      <c r="G275" s="62"/>
      <c r="H275" s="43"/>
    </row>
    <row r="276" spans="1:8" s="55" customFormat="1" ht="30" hidden="1" customHeight="1" x14ac:dyDescent="0.25">
      <c r="A276" s="354">
        <v>1</v>
      </c>
      <c r="B276" s="131" t="e">
        <f t="shared" si="10"/>
        <v>#REF!</v>
      </c>
      <c r="C276" s="35" t="s">
        <v>204</v>
      </c>
      <c r="D276" s="13"/>
      <c r="E276" s="53">
        <v>150</v>
      </c>
      <c r="F276" s="62"/>
      <c r="G276" s="62"/>
      <c r="H276" s="43"/>
    </row>
    <row r="277" spans="1:8" s="55" customFormat="1" ht="15.75" hidden="1" customHeight="1" x14ac:dyDescent="0.25">
      <c r="A277" s="354">
        <v>1</v>
      </c>
      <c r="B277" s="131" t="e">
        <f t="shared" si="10"/>
        <v>#REF!</v>
      </c>
      <c r="C277" s="35" t="s">
        <v>119</v>
      </c>
      <c r="D277" s="13"/>
      <c r="E277" s="53">
        <v>90</v>
      </c>
      <c r="F277" s="62"/>
      <c r="G277" s="62"/>
      <c r="H277" s="43"/>
    </row>
    <row r="278" spans="1:8" s="55" customFormat="1" ht="15.75" hidden="1" customHeight="1" x14ac:dyDescent="0.25">
      <c r="A278" s="354">
        <v>1</v>
      </c>
      <c r="B278" s="131" t="e">
        <f t="shared" si="10"/>
        <v>#REF!</v>
      </c>
      <c r="C278" s="21" t="s">
        <v>195</v>
      </c>
      <c r="D278" s="13"/>
      <c r="E278" s="528">
        <f>E259+E239</f>
        <v>23500</v>
      </c>
      <c r="F278" s="62"/>
      <c r="G278" s="62"/>
      <c r="H278" s="43"/>
    </row>
    <row r="279" spans="1:8" s="55" customFormat="1" ht="29.25" hidden="1" customHeight="1" x14ac:dyDescent="0.25">
      <c r="A279" s="354">
        <v>1</v>
      </c>
      <c r="B279" s="131" t="e">
        <f t="shared" si="10"/>
        <v>#REF!</v>
      </c>
      <c r="C279" s="21" t="s">
        <v>196</v>
      </c>
      <c r="D279" s="13"/>
      <c r="E279" s="528">
        <f>E249</f>
        <v>27973</v>
      </c>
      <c r="F279" s="62"/>
      <c r="G279" s="62"/>
      <c r="H279" s="43"/>
    </row>
    <row r="280" spans="1:8" s="55" customFormat="1" ht="15.75" hidden="1" customHeight="1" x14ac:dyDescent="0.25">
      <c r="A280" s="354">
        <v>1</v>
      </c>
      <c r="B280" s="131" t="e">
        <f t="shared" si="10"/>
        <v>#REF!</v>
      </c>
      <c r="C280" s="21" t="s">
        <v>197</v>
      </c>
      <c r="D280" s="13"/>
      <c r="E280" s="528">
        <f>E268+E245</f>
        <v>54409</v>
      </c>
      <c r="F280" s="62"/>
      <c r="G280" s="62"/>
      <c r="H280" s="43"/>
    </row>
    <row r="281" spans="1:8" s="55" customFormat="1" ht="29.25" hidden="1" customHeight="1" x14ac:dyDescent="0.25">
      <c r="A281" s="354">
        <v>1</v>
      </c>
      <c r="B281" s="131" t="e">
        <f t="shared" si="10"/>
        <v>#REF!</v>
      </c>
      <c r="C281" s="21" t="s">
        <v>198</v>
      </c>
      <c r="D281" s="13"/>
      <c r="E281" s="528">
        <f>E271+E273</f>
        <v>17200</v>
      </c>
      <c r="F281" s="62"/>
      <c r="G281" s="62"/>
      <c r="H281" s="43"/>
    </row>
    <row r="282" spans="1:8" s="55" customFormat="1" ht="15.75" hidden="1" customHeight="1" x14ac:dyDescent="0.25">
      <c r="A282" s="354">
        <v>1</v>
      </c>
      <c r="B282" s="131" t="e">
        <f t="shared" si="10"/>
        <v>#REF!</v>
      </c>
      <c r="C282" s="520" t="s">
        <v>112</v>
      </c>
      <c r="D282" s="13"/>
      <c r="E282" s="508">
        <f>E278+E279+E280*2.6+E281</f>
        <v>210136.4</v>
      </c>
      <c r="F282" s="62"/>
      <c r="G282" s="62"/>
      <c r="H282" s="43"/>
    </row>
    <row r="283" spans="1:8" ht="15.75" hidden="1" customHeight="1" x14ac:dyDescent="0.25">
      <c r="A283" s="354">
        <v>1</v>
      </c>
      <c r="B283" s="131" t="e">
        <f t="shared" si="10"/>
        <v>#REF!</v>
      </c>
      <c r="C283" s="44" t="s">
        <v>7</v>
      </c>
      <c r="D283" s="13"/>
      <c r="E283" s="53"/>
      <c r="F283" s="2"/>
      <c r="G283" s="2"/>
      <c r="H283" s="2"/>
    </row>
    <row r="284" spans="1:8" ht="15.75" hidden="1" customHeight="1" x14ac:dyDescent="0.25">
      <c r="A284" s="354">
        <v>1</v>
      </c>
      <c r="B284" s="131" t="e">
        <f t="shared" si="10"/>
        <v>#REF!</v>
      </c>
      <c r="C284" s="293" t="s">
        <v>18</v>
      </c>
      <c r="D284" s="13"/>
      <c r="E284" s="508"/>
      <c r="F284" s="158"/>
      <c r="G284" s="29"/>
      <c r="H284" s="29"/>
    </row>
    <row r="285" spans="1:8" s="51" customFormat="1" ht="15.75" hidden="1" customHeight="1" x14ac:dyDescent="0.25">
      <c r="A285" s="354">
        <v>1</v>
      </c>
      <c r="B285" s="131" t="e">
        <f t="shared" si="10"/>
        <v>#REF!</v>
      </c>
      <c r="C285" s="294" t="s">
        <v>55</v>
      </c>
      <c r="D285" s="52">
        <v>240</v>
      </c>
      <c r="E285" s="53">
        <v>80</v>
      </c>
      <c r="F285" s="47">
        <v>8</v>
      </c>
      <c r="G285" s="2">
        <f>ROUND(H285/D285,0)</f>
        <v>3</v>
      </c>
      <c r="H285" s="2">
        <f>ROUND(E285*F285,0)</f>
        <v>640</v>
      </c>
    </row>
    <row r="286" spans="1:8" s="51" customFormat="1" ht="15.75" hidden="1" customHeight="1" x14ac:dyDescent="0.25">
      <c r="A286" s="354">
        <v>1</v>
      </c>
      <c r="B286" s="131" t="e">
        <f t="shared" si="10"/>
        <v>#REF!</v>
      </c>
      <c r="C286" s="529" t="s">
        <v>24</v>
      </c>
      <c r="D286" s="52">
        <v>240</v>
      </c>
      <c r="E286" s="53">
        <v>1886</v>
      </c>
      <c r="F286" s="47">
        <v>8</v>
      </c>
      <c r="G286" s="2">
        <f>ROUND(H286/D286,0)</f>
        <v>63</v>
      </c>
      <c r="H286" s="2">
        <f>ROUND(E286*F286,0)</f>
        <v>15088</v>
      </c>
    </row>
    <row r="287" spans="1:8" s="51" customFormat="1" ht="15.75" hidden="1" customHeight="1" x14ac:dyDescent="0.25">
      <c r="A287" s="354">
        <v>1</v>
      </c>
      <c r="B287" s="131" t="e">
        <f t="shared" si="10"/>
        <v>#REF!</v>
      </c>
      <c r="C287" s="295" t="s">
        <v>94</v>
      </c>
      <c r="D287" s="52"/>
      <c r="E287" s="506">
        <f>SUM(E285:E286)</f>
        <v>1966</v>
      </c>
      <c r="F287" s="525">
        <f>F285</f>
        <v>8</v>
      </c>
      <c r="G287" s="31">
        <f>SUM(G285:G286)</f>
        <v>66</v>
      </c>
      <c r="H287" s="31">
        <f>SUM(H285:H286)</f>
        <v>15728</v>
      </c>
    </row>
    <row r="288" spans="1:8" ht="15.75" hidden="1" customHeight="1" x14ac:dyDescent="0.25">
      <c r="A288" s="354">
        <v>1</v>
      </c>
      <c r="B288" s="131" t="e">
        <f t="shared" si="10"/>
        <v>#REF!</v>
      </c>
      <c r="C288" s="298" t="s">
        <v>88</v>
      </c>
      <c r="D288" s="13"/>
      <c r="E288" s="508">
        <f>E287</f>
        <v>1966</v>
      </c>
      <c r="F288" s="158">
        <f>H288/E288</f>
        <v>8</v>
      </c>
      <c r="G288" s="29">
        <f>G287</f>
        <v>66</v>
      </c>
      <c r="H288" s="29">
        <f>H287</f>
        <v>15728</v>
      </c>
    </row>
    <row r="289" spans="1:8" s="51" customFormat="1" ht="16.5" hidden="1" customHeight="1" thickBot="1" x14ac:dyDescent="0.3">
      <c r="A289" s="354">
        <v>1</v>
      </c>
      <c r="B289" s="131" t="e">
        <f t="shared" si="10"/>
        <v>#REF!</v>
      </c>
      <c r="C289" s="530" t="s">
        <v>213</v>
      </c>
      <c r="D289" s="489"/>
      <c r="E289" s="490"/>
      <c r="F289" s="491"/>
      <c r="G289" s="491"/>
      <c r="H289" s="491"/>
    </row>
    <row r="290" spans="1:8" s="51" customFormat="1" ht="29.25" hidden="1" customHeight="1" x14ac:dyDescent="0.25">
      <c r="A290" s="354">
        <v>1</v>
      </c>
      <c r="B290" s="131" t="e">
        <f t="shared" si="10"/>
        <v>#REF!</v>
      </c>
      <c r="C290" s="686" t="s">
        <v>351</v>
      </c>
      <c r="D290" s="63"/>
      <c r="E290" s="53"/>
      <c r="F290" s="2"/>
      <c r="G290" s="2"/>
      <c r="H290" s="2"/>
    </row>
    <row r="291" spans="1:8" s="51" customFormat="1" ht="15.75" hidden="1" customHeight="1" x14ac:dyDescent="0.25">
      <c r="A291" s="354">
        <v>1</v>
      </c>
      <c r="B291" s="131" t="e">
        <f t="shared" si="10"/>
        <v>#REF!</v>
      </c>
      <c r="C291" s="499" t="s">
        <v>4</v>
      </c>
      <c r="D291" s="63"/>
      <c r="E291" s="53"/>
      <c r="F291" s="2"/>
      <c r="G291" s="2"/>
      <c r="H291" s="2"/>
    </row>
    <row r="292" spans="1:8" s="51" customFormat="1" ht="15.75" hidden="1" customHeight="1" x14ac:dyDescent="0.25">
      <c r="A292" s="354">
        <v>1</v>
      </c>
      <c r="B292" s="131" t="e">
        <f t="shared" si="10"/>
        <v>#REF!</v>
      </c>
      <c r="C292" s="500" t="s">
        <v>26</v>
      </c>
      <c r="D292" s="52">
        <v>300</v>
      </c>
      <c r="E292" s="53">
        <f>1864-65</f>
        <v>1799</v>
      </c>
      <c r="F292" s="47">
        <v>5.7</v>
      </c>
      <c r="G292" s="2">
        <f>ROUND(H292/D292,0)</f>
        <v>34</v>
      </c>
      <c r="H292" s="2">
        <f>ROUND(E292*F292,0)</f>
        <v>10254</v>
      </c>
    </row>
    <row r="293" spans="1:8" ht="15.75" hidden="1" customHeight="1" x14ac:dyDescent="0.25">
      <c r="A293" s="354">
        <v>1</v>
      </c>
      <c r="B293" s="131" t="e">
        <f t="shared" si="10"/>
        <v>#REF!</v>
      </c>
      <c r="C293" s="224" t="s">
        <v>110</v>
      </c>
      <c r="D293" s="139">
        <v>330</v>
      </c>
      <c r="E293" s="502"/>
      <c r="F293" s="140">
        <v>5</v>
      </c>
      <c r="G293" s="2">
        <f>ROUND(H293/D293,0)</f>
        <v>0</v>
      </c>
      <c r="H293" s="10">
        <f>ROUND(E293*F293,0)</f>
        <v>0</v>
      </c>
    </row>
    <row r="294" spans="1:8" ht="15.75" hidden="1" customHeight="1" x14ac:dyDescent="0.25">
      <c r="A294" s="354">
        <v>1</v>
      </c>
      <c r="B294" s="131" t="e">
        <f t="shared" si="10"/>
        <v>#REF!</v>
      </c>
      <c r="C294" s="500" t="s">
        <v>22</v>
      </c>
      <c r="D294" s="52">
        <v>340</v>
      </c>
      <c r="E294" s="53">
        <v>1505</v>
      </c>
      <c r="F294" s="47">
        <v>5</v>
      </c>
      <c r="G294" s="2">
        <f>ROUND(H294/D294,0)</f>
        <v>22</v>
      </c>
      <c r="H294" s="2">
        <f>ROUND(E294*F294,0)</f>
        <v>7525</v>
      </c>
    </row>
    <row r="295" spans="1:8" ht="15.75" hidden="1" customHeight="1" x14ac:dyDescent="0.25">
      <c r="A295" s="354">
        <v>1</v>
      </c>
      <c r="B295" s="131" t="e">
        <f t="shared" si="10"/>
        <v>#REF!</v>
      </c>
      <c r="C295" s="526" t="s">
        <v>5</v>
      </c>
      <c r="D295" s="63"/>
      <c r="E295" s="508">
        <f>SUM(E292:E294)</f>
        <v>3304</v>
      </c>
      <c r="F295" s="158">
        <f>H295/E295</f>
        <v>5.3810532687651333</v>
      </c>
      <c r="G295" s="29">
        <f>SUM(G292:G294)</f>
        <v>56</v>
      </c>
      <c r="H295" s="29">
        <f>SUM(H292:H294)</f>
        <v>17779</v>
      </c>
    </row>
    <row r="296" spans="1:8" s="51" customFormat="1" ht="15.75" hidden="1" customHeight="1" x14ac:dyDescent="0.25">
      <c r="A296" s="354">
        <v>1</v>
      </c>
      <c r="B296" s="131" t="e">
        <f t="shared" si="10"/>
        <v>#REF!</v>
      </c>
      <c r="C296" s="12" t="s">
        <v>98</v>
      </c>
      <c r="D296" s="13"/>
      <c r="E296" s="53"/>
      <c r="F296" s="2"/>
      <c r="G296" s="2"/>
      <c r="H296" s="2"/>
    </row>
    <row r="297" spans="1:8" s="51" customFormat="1" ht="15.75" hidden="1" customHeight="1" x14ac:dyDescent="0.25">
      <c r="A297" s="354">
        <v>1</v>
      </c>
      <c r="B297" s="131" t="e">
        <f t="shared" si="10"/>
        <v>#REF!</v>
      </c>
      <c r="C297" s="264" t="s">
        <v>251</v>
      </c>
      <c r="D297" s="13"/>
      <c r="E297" s="508">
        <f>E298+E299+E304+E305</f>
        <v>49642</v>
      </c>
      <c r="F297" s="2"/>
      <c r="G297" s="2"/>
      <c r="H297" s="2"/>
    </row>
    <row r="298" spans="1:8" s="51" customFormat="1" ht="15.75" hidden="1" customHeight="1" x14ac:dyDescent="0.25">
      <c r="A298" s="354">
        <v>1</v>
      </c>
      <c r="B298" s="131" t="e">
        <f t="shared" si="10"/>
        <v>#REF!</v>
      </c>
      <c r="C298" s="15" t="s">
        <v>252</v>
      </c>
      <c r="D298" s="13"/>
      <c r="E298" s="53"/>
      <c r="F298" s="2"/>
      <c r="G298" s="2"/>
      <c r="H298" s="2"/>
    </row>
    <row r="299" spans="1:8" s="51" customFormat="1" ht="30" hidden="1" customHeight="1" x14ac:dyDescent="0.25">
      <c r="A299" s="354">
        <v>1</v>
      </c>
      <c r="B299" s="131" t="e">
        <f t="shared" si="10"/>
        <v>#REF!</v>
      </c>
      <c r="C299" s="16" t="s">
        <v>388</v>
      </c>
      <c r="D299" s="13"/>
      <c r="E299" s="53">
        <f>E300+E301/4</f>
        <v>44342</v>
      </c>
      <c r="F299" s="2"/>
      <c r="G299" s="2"/>
      <c r="H299" s="2"/>
    </row>
    <row r="300" spans="1:8" s="145" customFormat="1" ht="15.75" hidden="1" customHeight="1" x14ac:dyDescent="0.25">
      <c r="A300" s="354">
        <v>1</v>
      </c>
      <c r="B300" s="131" t="e">
        <f t="shared" si="10"/>
        <v>#REF!</v>
      </c>
      <c r="C300" s="15" t="s">
        <v>389</v>
      </c>
      <c r="D300" s="13"/>
      <c r="E300" s="17">
        <v>44342</v>
      </c>
      <c r="F300" s="10"/>
      <c r="G300" s="10"/>
      <c r="H300" s="10"/>
    </row>
    <row r="301" spans="1:8" s="51" customFormat="1" ht="30" hidden="1" customHeight="1" x14ac:dyDescent="0.25">
      <c r="A301" s="354">
        <v>1</v>
      </c>
      <c r="B301" s="131" t="e">
        <f t="shared" si="10"/>
        <v>#REF!</v>
      </c>
      <c r="C301" s="15" t="s">
        <v>390</v>
      </c>
      <c r="D301" s="13"/>
      <c r="E301" s="53"/>
      <c r="F301" s="2"/>
      <c r="G301" s="2"/>
      <c r="H301" s="2"/>
    </row>
    <row r="302" spans="1:8" s="51" customFormat="1" ht="45" hidden="1" customHeight="1" x14ac:dyDescent="0.25">
      <c r="A302" s="354">
        <v>1</v>
      </c>
      <c r="B302" s="131" t="e">
        <f t="shared" si="10"/>
        <v>#REF!</v>
      </c>
      <c r="C302" s="15" t="s">
        <v>391</v>
      </c>
      <c r="D302" s="13"/>
      <c r="E302" s="53"/>
      <c r="F302" s="2"/>
      <c r="G302" s="2"/>
      <c r="H302" s="2"/>
    </row>
    <row r="303" spans="1:8" s="51" customFormat="1" ht="45" hidden="1" customHeight="1" x14ac:dyDescent="0.25">
      <c r="A303" s="354">
        <v>1</v>
      </c>
      <c r="B303" s="131" t="e">
        <f t="shared" si="10"/>
        <v>#REF!</v>
      </c>
      <c r="C303" s="15" t="s">
        <v>392</v>
      </c>
      <c r="D303" s="13"/>
      <c r="E303" s="53"/>
      <c r="F303" s="2"/>
      <c r="G303" s="2"/>
      <c r="H303" s="2"/>
    </row>
    <row r="304" spans="1:8" s="51" customFormat="1" ht="45" hidden="1" customHeight="1" x14ac:dyDescent="0.25">
      <c r="A304" s="354">
        <v>1</v>
      </c>
      <c r="B304" s="131" t="e">
        <f t="shared" si="10"/>
        <v>#REF!</v>
      </c>
      <c r="C304" s="15" t="s">
        <v>393</v>
      </c>
      <c r="D304" s="13"/>
      <c r="E304" s="53">
        <v>5300</v>
      </c>
      <c r="F304" s="2"/>
      <c r="G304" s="2"/>
      <c r="H304" s="2"/>
    </row>
    <row r="305" spans="1:8" s="51" customFormat="1" ht="75" hidden="1" customHeight="1" x14ac:dyDescent="0.25">
      <c r="A305" s="354">
        <v>1</v>
      </c>
      <c r="B305" s="131" t="e">
        <f t="shared" si="10"/>
        <v>#REF!</v>
      </c>
      <c r="C305" s="15" t="s">
        <v>394</v>
      </c>
      <c r="D305" s="13"/>
      <c r="E305" s="53"/>
      <c r="F305" s="2"/>
      <c r="G305" s="2"/>
      <c r="H305" s="2"/>
    </row>
    <row r="306" spans="1:8" s="51" customFormat="1" ht="15.75" hidden="1" customHeight="1" x14ac:dyDescent="0.25">
      <c r="A306" s="354">
        <v>1</v>
      </c>
      <c r="B306" s="131" t="e">
        <f t="shared" si="10"/>
        <v>#REF!</v>
      </c>
      <c r="C306" s="15" t="s">
        <v>253</v>
      </c>
      <c r="D306" s="13"/>
      <c r="E306" s="53">
        <f>E307+E309/9.4</f>
        <v>26611</v>
      </c>
      <c r="F306" s="2"/>
      <c r="G306" s="2"/>
      <c r="H306" s="2"/>
    </row>
    <row r="307" spans="1:8" s="51" customFormat="1" ht="15.75" hidden="1" customHeight="1" x14ac:dyDescent="0.25">
      <c r="A307" s="354">
        <v>1</v>
      </c>
      <c r="B307" s="131" t="e">
        <f t="shared" si="10"/>
        <v>#REF!</v>
      </c>
      <c r="C307" s="15" t="s">
        <v>254</v>
      </c>
      <c r="D307" s="13"/>
      <c r="E307" s="53">
        <v>26611</v>
      </c>
      <c r="F307" s="2"/>
      <c r="G307" s="2"/>
      <c r="H307" s="2"/>
    </row>
    <row r="308" spans="1:8" s="51" customFormat="1" ht="15.75" hidden="1" customHeight="1" x14ac:dyDescent="0.25">
      <c r="A308" s="354">
        <v>1</v>
      </c>
      <c r="B308" s="131" t="e">
        <f t="shared" si="10"/>
        <v>#REF!</v>
      </c>
      <c r="C308" s="15" t="s">
        <v>255</v>
      </c>
      <c r="D308" s="13"/>
      <c r="E308" s="53"/>
      <c r="F308" s="2"/>
      <c r="G308" s="2"/>
      <c r="H308" s="2"/>
    </row>
    <row r="309" spans="1:8" s="51" customFormat="1" ht="15.75" hidden="1" customHeight="1" x14ac:dyDescent="0.25">
      <c r="A309" s="354">
        <v>1</v>
      </c>
      <c r="B309" s="131" t="e">
        <f t="shared" si="10"/>
        <v>#REF!</v>
      </c>
      <c r="C309" s="42" t="s">
        <v>261</v>
      </c>
      <c r="D309" s="13"/>
      <c r="E309" s="53"/>
      <c r="F309" s="2"/>
      <c r="G309" s="2"/>
      <c r="H309" s="2"/>
    </row>
    <row r="310" spans="1:8" s="51" customFormat="1" ht="29.25" hidden="1" customHeight="1" x14ac:dyDescent="0.25">
      <c r="A310" s="354">
        <v>1</v>
      </c>
      <c r="B310" s="131" t="e">
        <f t="shared" si="10"/>
        <v>#REF!</v>
      </c>
      <c r="C310" s="14" t="s">
        <v>256</v>
      </c>
      <c r="D310" s="13"/>
      <c r="E310" s="53"/>
      <c r="F310" s="2"/>
      <c r="G310" s="2"/>
      <c r="H310" s="2"/>
    </row>
    <row r="311" spans="1:8" s="51" customFormat="1" ht="15.75" hidden="1" customHeight="1" x14ac:dyDescent="0.25">
      <c r="A311" s="354">
        <v>1</v>
      </c>
      <c r="B311" s="131" t="e">
        <f t="shared" si="10"/>
        <v>#REF!</v>
      </c>
      <c r="C311" s="19" t="s">
        <v>117</v>
      </c>
      <c r="D311" s="13"/>
      <c r="E311" s="53"/>
      <c r="F311" s="2"/>
      <c r="G311" s="2"/>
      <c r="H311" s="2"/>
    </row>
    <row r="312" spans="1:8" s="51" customFormat="1" ht="57.75" hidden="1" customHeight="1" x14ac:dyDescent="0.25">
      <c r="A312" s="354">
        <v>1</v>
      </c>
      <c r="B312" s="131" t="e">
        <f t="shared" si="10"/>
        <v>#REF!</v>
      </c>
      <c r="C312" s="21" t="s">
        <v>259</v>
      </c>
      <c r="D312" s="13"/>
      <c r="E312" s="53">
        <v>500</v>
      </c>
      <c r="F312" s="2"/>
      <c r="G312" s="2"/>
      <c r="H312" s="2"/>
    </row>
    <row r="313" spans="1:8" s="51" customFormat="1" ht="15.75" hidden="1" customHeight="1" x14ac:dyDescent="0.25">
      <c r="A313" s="354">
        <v>1</v>
      </c>
      <c r="B313" s="131" t="e">
        <f t="shared" si="10"/>
        <v>#REF!</v>
      </c>
      <c r="C313" s="20" t="s">
        <v>165</v>
      </c>
      <c r="D313" s="13"/>
      <c r="E313" s="508">
        <f>E314+E315</f>
        <v>3700</v>
      </c>
      <c r="F313" s="2"/>
      <c r="G313" s="2"/>
      <c r="H313" s="2"/>
    </row>
    <row r="314" spans="1:8" s="51" customFormat="1" ht="60" hidden="1" customHeight="1" x14ac:dyDescent="0.25">
      <c r="A314" s="354">
        <v>1</v>
      </c>
      <c r="B314" s="131" t="e">
        <f t="shared" si="10"/>
        <v>#REF!</v>
      </c>
      <c r="C314" s="147" t="s">
        <v>248</v>
      </c>
      <c r="D314" s="13"/>
      <c r="E314" s="53">
        <v>2600</v>
      </c>
      <c r="F314" s="2"/>
      <c r="G314" s="2"/>
      <c r="H314" s="2"/>
    </row>
    <row r="315" spans="1:8" s="55" customFormat="1" ht="45" hidden="1" customHeight="1" x14ac:dyDescent="0.25">
      <c r="A315" s="354">
        <v>1</v>
      </c>
      <c r="B315" s="131" t="e">
        <f t="shared" si="10"/>
        <v>#REF!</v>
      </c>
      <c r="C315" s="147" t="s">
        <v>283</v>
      </c>
      <c r="D315" s="13"/>
      <c r="E315" s="53">
        <v>1100</v>
      </c>
      <c r="F315" s="373"/>
      <c r="G315" s="373"/>
      <c r="H315" s="29"/>
    </row>
    <row r="316" spans="1:8" s="51" customFormat="1" ht="15.75" hidden="1" customHeight="1" x14ac:dyDescent="0.25">
      <c r="A316" s="354">
        <v>1</v>
      </c>
      <c r="B316" s="131" t="e">
        <f t="shared" si="10"/>
        <v>#REF!</v>
      </c>
      <c r="C316" s="21" t="s">
        <v>195</v>
      </c>
      <c r="D316" s="13"/>
      <c r="E316" s="508">
        <f>E297</f>
        <v>49642</v>
      </c>
      <c r="F316" s="2"/>
      <c r="G316" s="2"/>
      <c r="H316" s="2"/>
    </row>
    <row r="317" spans="1:8" s="51" customFormat="1" ht="15.75" hidden="1" customHeight="1" x14ac:dyDescent="0.25">
      <c r="A317" s="354">
        <v>1</v>
      </c>
      <c r="B317" s="131" t="e">
        <f t="shared" si="10"/>
        <v>#REF!</v>
      </c>
      <c r="C317" s="21" t="s">
        <v>197</v>
      </c>
      <c r="D317" s="13"/>
      <c r="E317" s="508">
        <f>E306</f>
        <v>26611</v>
      </c>
      <c r="F317" s="2"/>
      <c r="G317" s="2"/>
      <c r="H317" s="2"/>
    </row>
    <row r="318" spans="1:8" s="51" customFormat="1" ht="29.25" hidden="1" customHeight="1" x14ac:dyDescent="0.25">
      <c r="A318" s="354">
        <v>1</v>
      </c>
      <c r="B318" s="131" t="e">
        <f t="shared" si="10"/>
        <v>#REF!</v>
      </c>
      <c r="C318" s="21" t="s">
        <v>198</v>
      </c>
      <c r="D318" s="13"/>
      <c r="E318" s="508">
        <f>E312+E310</f>
        <v>500</v>
      </c>
      <c r="F318" s="2"/>
      <c r="G318" s="2"/>
      <c r="H318" s="2"/>
    </row>
    <row r="319" spans="1:8" s="51" customFormat="1" ht="15.75" hidden="1" customHeight="1" x14ac:dyDescent="0.25">
      <c r="A319" s="354">
        <v>1</v>
      </c>
      <c r="B319" s="131" t="e">
        <f t="shared" si="10"/>
        <v>#REF!</v>
      </c>
      <c r="C319" s="22" t="s">
        <v>112</v>
      </c>
      <c r="D319" s="13"/>
      <c r="E319" s="508">
        <f>E316+E318+E307*2.6+E309/4.2</f>
        <v>119330.6</v>
      </c>
      <c r="F319" s="2"/>
      <c r="G319" s="2"/>
      <c r="H319" s="2"/>
    </row>
    <row r="320" spans="1:8" s="51" customFormat="1" ht="15.75" hidden="1" customHeight="1" x14ac:dyDescent="0.25">
      <c r="A320" s="354">
        <v>1</v>
      </c>
      <c r="B320" s="131" t="e">
        <f t="shared" si="10"/>
        <v>#REF!</v>
      </c>
      <c r="C320" s="44" t="s">
        <v>7</v>
      </c>
      <c r="D320" s="63"/>
      <c r="E320" s="53"/>
      <c r="F320" s="2"/>
      <c r="G320" s="2"/>
      <c r="H320" s="2"/>
    </row>
    <row r="321" spans="1:8" s="51" customFormat="1" ht="15.75" hidden="1" customHeight="1" x14ac:dyDescent="0.25">
      <c r="A321" s="354">
        <v>1</v>
      </c>
      <c r="B321" s="131" t="e">
        <f t="shared" si="10"/>
        <v>#REF!</v>
      </c>
      <c r="C321" s="293" t="s">
        <v>18</v>
      </c>
      <c r="D321" s="52"/>
      <c r="E321" s="508"/>
      <c r="F321" s="158"/>
      <c r="G321" s="29"/>
      <c r="H321" s="29"/>
    </row>
    <row r="322" spans="1:8" s="51" customFormat="1" ht="15.75" hidden="1" customHeight="1" x14ac:dyDescent="0.25">
      <c r="A322" s="354">
        <v>1</v>
      </c>
      <c r="B322" s="131" t="e">
        <f t="shared" si="10"/>
        <v>#REF!</v>
      </c>
      <c r="C322" s="294" t="s">
        <v>21</v>
      </c>
      <c r="D322" s="52">
        <v>240</v>
      </c>
      <c r="E322" s="53">
        <v>312</v>
      </c>
      <c r="F322" s="47">
        <v>6.3</v>
      </c>
      <c r="G322" s="2">
        <f>ROUND(H322/D322,0)</f>
        <v>8</v>
      </c>
      <c r="H322" s="2">
        <f>ROUND(E322*F322,0)</f>
        <v>1966</v>
      </c>
    </row>
    <row r="323" spans="1:8" s="51" customFormat="1" ht="15.75" hidden="1" customHeight="1" x14ac:dyDescent="0.25">
      <c r="A323" s="354">
        <v>1</v>
      </c>
      <c r="B323" s="131" t="e">
        <f t="shared" si="10"/>
        <v>#REF!</v>
      </c>
      <c r="C323" s="529" t="s">
        <v>22</v>
      </c>
      <c r="D323" s="52">
        <v>240</v>
      </c>
      <c r="E323" s="53">
        <f>1032+190</f>
        <v>1222</v>
      </c>
      <c r="F323" s="47">
        <v>6.8</v>
      </c>
      <c r="G323" s="2">
        <f>ROUND(H323/D323,0)</f>
        <v>35</v>
      </c>
      <c r="H323" s="2">
        <f>ROUND(E323*F323,0)</f>
        <v>8310</v>
      </c>
    </row>
    <row r="324" spans="1:8" s="51" customFormat="1" ht="15.75" hidden="1" customHeight="1" x14ac:dyDescent="0.25">
      <c r="A324" s="354">
        <v>1</v>
      </c>
      <c r="B324" s="131" t="e">
        <f t="shared" si="10"/>
        <v>#REF!</v>
      </c>
      <c r="C324" s="295" t="s">
        <v>94</v>
      </c>
      <c r="D324" s="73"/>
      <c r="E324" s="506">
        <f>SUM(E322:E323)</f>
        <v>1534</v>
      </c>
      <c r="F324" s="158">
        <f>H324/E324</f>
        <v>6.6988265971316823</v>
      </c>
      <c r="G324" s="31">
        <f>G322+G323</f>
        <v>43</v>
      </c>
      <c r="H324" s="31">
        <f>H322+H323</f>
        <v>10276</v>
      </c>
    </row>
    <row r="325" spans="1:8" ht="15.75" hidden="1" customHeight="1" x14ac:dyDescent="0.25">
      <c r="A325" s="354">
        <v>1</v>
      </c>
      <c r="B325" s="131" t="e">
        <f t="shared" si="10"/>
        <v>#REF!</v>
      </c>
      <c r="C325" s="298" t="s">
        <v>88</v>
      </c>
      <c r="D325" s="531"/>
      <c r="E325" s="508">
        <f>E324</f>
        <v>1534</v>
      </c>
      <c r="F325" s="158">
        <f>H325/E325</f>
        <v>6.6988265971316823</v>
      </c>
      <c r="G325" s="29">
        <f t="shared" ref="G325:H325" si="11">G324</f>
        <v>43</v>
      </c>
      <c r="H325" s="29">
        <f t="shared" si="11"/>
        <v>10276</v>
      </c>
    </row>
    <row r="326" spans="1:8" s="374" customFormat="1" ht="16.5" hidden="1" customHeight="1" thickBot="1" x14ac:dyDescent="0.3">
      <c r="A326" s="354">
        <v>1</v>
      </c>
      <c r="B326" s="131" t="e">
        <f t="shared" si="10"/>
        <v>#REF!</v>
      </c>
      <c r="C326" s="532" t="s">
        <v>213</v>
      </c>
      <c r="D326" s="510"/>
      <c r="E326" s="533"/>
      <c r="F326" s="534"/>
      <c r="G326" s="534"/>
      <c r="H326" s="534"/>
    </row>
    <row r="327" spans="1:8" ht="15.75" hidden="1" customHeight="1" x14ac:dyDescent="0.25">
      <c r="A327" s="354">
        <v>1</v>
      </c>
      <c r="B327" s="131" t="e">
        <f t="shared" si="10"/>
        <v>#REF!</v>
      </c>
      <c r="C327" s="535"/>
      <c r="D327" s="375"/>
      <c r="E327" s="493"/>
      <c r="F327" s="494"/>
      <c r="G327" s="494"/>
      <c r="H327" s="494"/>
    </row>
    <row r="328" spans="1:8" ht="29.25" hidden="1" customHeight="1" x14ac:dyDescent="0.25">
      <c r="A328" s="354">
        <v>1</v>
      </c>
      <c r="B328" s="131" t="e">
        <f t="shared" si="10"/>
        <v>#REF!</v>
      </c>
      <c r="C328" s="686" t="s">
        <v>352</v>
      </c>
      <c r="D328" s="52"/>
      <c r="E328" s="498"/>
      <c r="F328" s="2"/>
      <c r="G328" s="2"/>
      <c r="H328" s="2"/>
    </row>
    <row r="329" spans="1:8" ht="15.75" hidden="1" customHeight="1" x14ac:dyDescent="0.25">
      <c r="A329" s="354">
        <v>1</v>
      </c>
      <c r="B329" s="131" t="e">
        <f t="shared" si="10"/>
        <v>#REF!</v>
      </c>
      <c r="C329" s="499" t="s">
        <v>4</v>
      </c>
      <c r="D329" s="52"/>
      <c r="E329" s="53"/>
      <c r="F329" s="2"/>
      <c r="G329" s="2"/>
      <c r="H329" s="2"/>
    </row>
    <row r="330" spans="1:8" ht="15.75" hidden="1" customHeight="1" x14ac:dyDescent="0.25">
      <c r="A330" s="354">
        <v>1</v>
      </c>
      <c r="B330" s="131" t="e">
        <f t="shared" si="10"/>
        <v>#REF!</v>
      </c>
      <c r="C330" s="224" t="s">
        <v>110</v>
      </c>
      <c r="D330" s="52">
        <v>330</v>
      </c>
      <c r="E330" s="53">
        <v>80</v>
      </c>
      <c r="F330" s="47">
        <v>4</v>
      </c>
      <c r="G330" s="2">
        <f>ROUND(H330/D330,0)</f>
        <v>1</v>
      </c>
      <c r="H330" s="2">
        <f>ROUND(E330*F330,0)</f>
        <v>320</v>
      </c>
    </row>
    <row r="331" spans="1:8" ht="15.75" hidden="1" customHeight="1" x14ac:dyDescent="0.25">
      <c r="A331" s="354">
        <v>1</v>
      </c>
      <c r="B331" s="131" t="e">
        <f t="shared" si="10"/>
        <v>#REF!</v>
      </c>
      <c r="C331" s="500" t="s">
        <v>26</v>
      </c>
      <c r="D331" s="52">
        <v>300</v>
      </c>
      <c r="E331" s="536">
        <v>1320</v>
      </c>
      <c r="F331" s="47">
        <v>5.8</v>
      </c>
      <c r="G331" s="2">
        <f>ROUND(H331/D331,0)</f>
        <v>26</v>
      </c>
      <c r="H331" s="2">
        <f>ROUND(E331*F331,0)</f>
        <v>7656</v>
      </c>
    </row>
    <row r="332" spans="1:8" ht="15.75" hidden="1" customHeight="1" x14ac:dyDescent="0.25">
      <c r="A332" s="354">
        <v>1</v>
      </c>
      <c r="B332" s="131" t="e">
        <f t="shared" si="10"/>
        <v>#REF!</v>
      </c>
      <c r="C332" s="500" t="s">
        <v>22</v>
      </c>
      <c r="D332" s="52">
        <v>300</v>
      </c>
      <c r="E332" s="536">
        <v>330</v>
      </c>
      <c r="F332" s="47">
        <v>6</v>
      </c>
      <c r="G332" s="2">
        <f t="shared" ref="G332:G333" si="12">ROUND(H332/D332,0)</f>
        <v>7</v>
      </c>
      <c r="H332" s="2">
        <f>ROUND(E332*F332,0)</f>
        <v>1980</v>
      </c>
    </row>
    <row r="333" spans="1:8" ht="15.75" hidden="1" customHeight="1" x14ac:dyDescent="0.25">
      <c r="A333" s="354">
        <v>1</v>
      </c>
      <c r="B333" s="131" t="e">
        <f t="shared" si="10"/>
        <v>#REF!</v>
      </c>
      <c r="C333" s="500" t="s">
        <v>25</v>
      </c>
      <c r="D333" s="52">
        <v>74</v>
      </c>
      <c r="E333" s="537"/>
      <c r="F333" s="538">
        <v>14</v>
      </c>
      <c r="G333" s="2">
        <f t="shared" si="12"/>
        <v>0</v>
      </c>
      <c r="H333" s="2">
        <f>ROUND(E333*F333,0)</f>
        <v>0</v>
      </c>
    </row>
    <row r="334" spans="1:8" ht="15.75" hidden="1" customHeight="1" x14ac:dyDescent="0.25">
      <c r="A334" s="354">
        <v>1</v>
      </c>
      <c r="B334" s="131" t="e">
        <f t="shared" si="10"/>
        <v>#REF!</v>
      </c>
      <c r="C334" s="526" t="s">
        <v>5</v>
      </c>
      <c r="D334" s="63"/>
      <c r="E334" s="508">
        <f>SUM(E330:E333)</f>
        <v>1730</v>
      </c>
      <c r="F334" s="158">
        <f>H334/E334</f>
        <v>5.7549132947976878</v>
      </c>
      <c r="G334" s="29">
        <f t="shared" ref="G334:H334" si="13">SUM(G330:G333)</f>
        <v>34</v>
      </c>
      <c r="H334" s="29">
        <f t="shared" si="13"/>
        <v>9956</v>
      </c>
    </row>
    <row r="335" spans="1:8" ht="15.75" hidden="1" customHeight="1" x14ac:dyDescent="0.25">
      <c r="A335" s="354">
        <v>1</v>
      </c>
      <c r="B335" s="131" t="e">
        <f t="shared" si="10"/>
        <v>#REF!</v>
      </c>
      <c r="C335" s="12" t="s">
        <v>98</v>
      </c>
      <c r="D335" s="13"/>
      <c r="E335" s="53"/>
      <c r="F335" s="2"/>
      <c r="G335" s="2"/>
      <c r="H335" s="2"/>
    </row>
    <row r="336" spans="1:8" ht="15.75" hidden="1" customHeight="1" x14ac:dyDescent="0.25">
      <c r="A336" s="354">
        <v>1</v>
      </c>
      <c r="B336" s="131" t="e">
        <f t="shared" si="10"/>
        <v>#REF!</v>
      </c>
      <c r="C336" s="14" t="s">
        <v>251</v>
      </c>
      <c r="D336" s="13"/>
      <c r="E336" s="508">
        <f>E338+E337+E344+E343</f>
        <v>23476.75</v>
      </c>
      <c r="F336" s="2"/>
      <c r="G336" s="2"/>
      <c r="H336" s="2"/>
    </row>
    <row r="337" spans="1:8" ht="15.75" hidden="1" customHeight="1" x14ac:dyDescent="0.25">
      <c r="A337" s="354">
        <v>1</v>
      </c>
      <c r="B337" s="131" t="e">
        <f t="shared" si="10"/>
        <v>#REF!</v>
      </c>
      <c r="C337" s="15" t="s">
        <v>252</v>
      </c>
      <c r="D337" s="13"/>
      <c r="E337" s="53"/>
      <c r="F337" s="2"/>
      <c r="G337" s="2"/>
      <c r="H337" s="2"/>
    </row>
    <row r="338" spans="1:8" ht="30" hidden="1" customHeight="1" x14ac:dyDescent="0.25">
      <c r="A338" s="354">
        <v>1</v>
      </c>
      <c r="B338" s="131" t="e">
        <f t="shared" si="10"/>
        <v>#REF!</v>
      </c>
      <c r="C338" s="16" t="s">
        <v>388</v>
      </c>
      <c r="D338" s="13"/>
      <c r="E338" s="53">
        <f>E339+E340/4</f>
        <v>23106.75</v>
      </c>
      <c r="F338" s="2"/>
      <c r="G338" s="2"/>
      <c r="H338" s="2"/>
    </row>
    <row r="339" spans="1:8" s="145" customFormat="1" ht="15.75" hidden="1" customHeight="1" x14ac:dyDescent="0.25">
      <c r="A339" s="354">
        <v>1</v>
      </c>
      <c r="B339" s="131" t="e">
        <f t="shared" ref="B339:B402" si="14">B338+1</f>
        <v>#REF!</v>
      </c>
      <c r="C339" s="15" t="s">
        <v>389</v>
      </c>
      <c r="D339" s="13"/>
      <c r="E339" s="17">
        <v>22600</v>
      </c>
      <c r="F339" s="10"/>
      <c r="G339" s="10"/>
      <c r="H339" s="10"/>
    </row>
    <row r="340" spans="1:8" ht="30" hidden="1" customHeight="1" x14ac:dyDescent="0.25">
      <c r="A340" s="354">
        <v>1</v>
      </c>
      <c r="B340" s="131" t="e">
        <f t="shared" si="14"/>
        <v>#REF!</v>
      </c>
      <c r="C340" s="15" t="s">
        <v>390</v>
      </c>
      <c r="D340" s="13"/>
      <c r="E340" s="53">
        <v>2027</v>
      </c>
      <c r="F340" s="2"/>
      <c r="G340" s="2"/>
      <c r="H340" s="2"/>
    </row>
    <row r="341" spans="1:8" ht="45" hidden="1" customHeight="1" x14ac:dyDescent="0.25">
      <c r="A341" s="354">
        <v>1</v>
      </c>
      <c r="B341" s="131" t="e">
        <f t="shared" si="14"/>
        <v>#REF!</v>
      </c>
      <c r="C341" s="15" t="s">
        <v>391</v>
      </c>
      <c r="D341" s="13"/>
      <c r="E341" s="53"/>
      <c r="F341" s="2"/>
      <c r="G341" s="2"/>
      <c r="H341" s="2"/>
    </row>
    <row r="342" spans="1:8" ht="45" hidden="1" customHeight="1" x14ac:dyDescent="0.25">
      <c r="A342" s="354">
        <v>1</v>
      </c>
      <c r="B342" s="131" t="e">
        <f t="shared" si="14"/>
        <v>#REF!</v>
      </c>
      <c r="C342" s="15" t="s">
        <v>392</v>
      </c>
      <c r="D342" s="13"/>
      <c r="E342" s="53"/>
      <c r="F342" s="2"/>
      <c r="G342" s="2"/>
      <c r="H342" s="2"/>
    </row>
    <row r="343" spans="1:8" ht="45" hidden="1" customHeight="1" x14ac:dyDescent="0.25">
      <c r="A343" s="354">
        <v>1</v>
      </c>
      <c r="B343" s="131" t="e">
        <f t="shared" si="14"/>
        <v>#REF!</v>
      </c>
      <c r="C343" s="15" t="s">
        <v>393</v>
      </c>
      <c r="D343" s="13"/>
      <c r="E343" s="53">
        <v>370</v>
      </c>
      <c r="F343" s="2"/>
      <c r="G343" s="2"/>
      <c r="H343" s="2"/>
    </row>
    <row r="344" spans="1:8" ht="75" hidden="1" customHeight="1" x14ac:dyDescent="0.25">
      <c r="A344" s="354">
        <v>1</v>
      </c>
      <c r="B344" s="131" t="e">
        <f t="shared" si="14"/>
        <v>#REF!</v>
      </c>
      <c r="C344" s="18" t="s">
        <v>394</v>
      </c>
      <c r="D344" s="13"/>
      <c r="E344" s="53"/>
      <c r="F344" s="2"/>
      <c r="G344" s="2"/>
      <c r="H344" s="2"/>
    </row>
    <row r="345" spans="1:8" ht="15.75" hidden="1" customHeight="1" x14ac:dyDescent="0.25">
      <c r="A345" s="354">
        <v>1</v>
      </c>
      <c r="B345" s="131" t="e">
        <f t="shared" si="14"/>
        <v>#REF!</v>
      </c>
      <c r="C345" s="14" t="s">
        <v>253</v>
      </c>
      <c r="D345" s="13"/>
      <c r="E345" s="53">
        <f>E348/9.4+E346</f>
        <v>6813.9148936170213</v>
      </c>
      <c r="F345" s="2"/>
      <c r="G345" s="2"/>
      <c r="H345" s="2"/>
    </row>
    <row r="346" spans="1:8" ht="15.75" hidden="1" customHeight="1" x14ac:dyDescent="0.25">
      <c r="A346" s="354">
        <v>1</v>
      </c>
      <c r="B346" s="131" t="e">
        <f t="shared" si="14"/>
        <v>#REF!</v>
      </c>
      <c r="C346" s="14" t="s">
        <v>254</v>
      </c>
      <c r="D346" s="13"/>
      <c r="E346" s="53">
        <v>6462</v>
      </c>
      <c r="F346" s="2"/>
      <c r="G346" s="2"/>
      <c r="H346" s="2"/>
    </row>
    <row r="347" spans="1:8" ht="15.75" hidden="1" customHeight="1" x14ac:dyDescent="0.25">
      <c r="A347" s="354">
        <v>1</v>
      </c>
      <c r="B347" s="131" t="e">
        <f t="shared" si="14"/>
        <v>#REF!</v>
      </c>
      <c r="C347" s="15" t="s">
        <v>255</v>
      </c>
      <c r="D347" s="13"/>
      <c r="E347" s="53">
        <f>E348/9.4</f>
        <v>351.91489361702128</v>
      </c>
      <c r="F347" s="2"/>
      <c r="G347" s="2"/>
      <c r="H347" s="2"/>
    </row>
    <row r="348" spans="1:8" ht="15.75" hidden="1" customHeight="1" x14ac:dyDescent="0.25">
      <c r="A348" s="354">
        <v>1</v>
      </c>
      <c r="B348" s="131" t="e">
        <f t="shared" si="14"/>
        <v>#REF!</v>
      </c>
      <c r="C348" s="42" t="s">
        <v>261</v>
      </c>
      <c r="D348" s="13"/>
      <c r="E348" s="53">
        <v>3308</v>
      </c>
      <c r="F348" s="2"/>
      <c r="G348" s="2"/>
      <c r="H348" s="2"/>
    </row>
    <row r="349" spans="1:8" ht="29.25" hidden="1" customHeight="1" x14ac:dyDescent="0.25">
      <c r="A349" s="354">
        <v>1</v>
      </c>
      <c r="B349" s="131" t="e">
        <f t="shared" si="14"/>
        <v>#REF!</v>
      </c>
      <c r="C349" s="14" t="s">
        <v>256</v>
      </c>
      <c r="D349" s="13"/>
      <c r="E349" s="53"/>
      <c r="F349" s="2"/>
      <c r="G349" s="2"/>
      <c r="H349" s="2"/>
    </row>
    <row r="350" spans="1:8" ht="15.75" hidden="1" customHeight="1" x14ac:dyDescent="0.25">
      <c r="A350" s="354">
        <v>1</v>
      </c>
      <c r="B350" s="131" t="e">
        <f t="shared" si="14"/>
        <v>#REF!</v>
      </c>
      <c r="C350" s="19" t="s">
        <v>117</v>
      </c>
      <c r="D350" s="13"/>
      <c r="E350" s="53"/>
      <c r="F350" s="2"/>
      <c r="G350" s="2"/>
      <c r="H350" s="2"/>
    </row>
    <row r="351" spans="1:8" ht="57.75" hidden="1" customHeight="1" x14ac:dyDescent="0.25">
      <c r="A351" s="354">
        <v>1</v>
      </c>
      <c r="B351" s="131" t="e">
        <f t="shared" si="14"/>
        <v>#REF!</v>
      </c>
      <c r="C351" s="21" t="s">
        <v>259</v>
      </c>
      <c r="D351" s="13"/>
      <c r="E351" s="53">
        <v>250</v>
      </c>
      <c r="F351" s="2"/>
      <c r="G351" s="2"/>
      <c r="H351" s="2"/>
    </row>
    <row r="352" spans="1:8" s="51" customFormat="1" ht="15.75" hidden="1" customHeight="1" x14ac:dyDescent="0.25">
      <c r="A352" s="354">
        <v>1</v>
      </c>
      <c r="B352" s="131" t="e">
        <f t="shared" si="14"/>
        <v>#REF!</v>
      </c>
      <c r="C352" s="20" t="s">
        <v>165</v>
      </c>
      <c r="D352" s="13"/>
      <c r="E352" s="508">
        <f>E353+E354</f>
        <v>1830</v>
      </c>
      <c r="F352" s="2"/>
      <c r="G352" s="2"/>
      <c r="H352" s="2"/>
    </row>
    <row r="353" spans="1:8" s="55" customFormat="1" ht="60" hidden="1" customHeight="1" x14ac:dyDescent="0.25">
      <c r="A353" s="354">
        <v>1</v>
      </c>
      <c r="B353" s="131" t="e">
        <f t="shared" si="14"/>
        <v>#REF!</v>
      </c>
      <c r="C353" s="147" t="s">
        <v>246</v>
      </c>
      <c r="D353" s="13"/>
      <c r="E353" s="53">
        <v>1000</v>
      </c>
      <c r="F353" s="373"/>
      <c r="G353" s="373"/>
      <c r="H353" s="29"/>
    </row>
    <row r="354" spans="1:8" s="55" customFormat="1" ht="52.5" hidden="1" customHeight="1" x14ac:dyDescent="0.25">
      <c r="A354" s="354">
        <v>1</v>
      </c>
      <c r="B354" s="131" t="e">
        <f t="shared" si="14"/>
        <v>#REF!</v>
      </c>
      <c r="C354" s="147" t="s">
        <v>283</v>
      </c>
      <c r="D354" s="13"/>
      <c r="E354" s="53">
        <v>830</v>
      </c>
      <c r="F354" s="373"/>
      <c r="G354" s="373"/>
      <c r="H354" s="29"/>
    </row>
    <row r="355" spans="1:8" ht="15.75" hidden="1" customHeight="1" x14ac:dyDescent="0.25">
      <c r="A355" s="354">
        <v>1</v>
      </c>
      <c r="B355" s="131" t="e">
        <f t="shared" si="14"/>
        <v>#REF!</v>
      </c>
      <c r="C355" s="21" t="s">
        <v>195</v>
      </c>
      <c r="D355" s="13"/>
      <c r="E355" s="508">
        <f>E336</f>
        <v>23476.75</v>
      </c>
      <c r="F355" s="2"/>
      <c r="G355" s="2"/>
      <c r="H355" s="2"/>
    </row>
    <row r="356" spans="1:8" ht="15.75" hidden="1" customHeight="1" x14ac:dyDescent="0.25">
      <c r="A356" s="354">
        <v>1</v>
      </c>
      <c r="B356" s="131" t="e">
        <f t="shared" si="14"/>
        <v>#REF!</v>
      </c>
      <c r="C356" s="21" t="s">
        <v>197</v>
      </c>
      <c r="D356" s="13"/>
      <c r="E356" s="508">
        <f>E345</f>
        <v>6813.9148936170213</v>
      </c>
      <c r="F356" s="2"/>
      <c r="G356" s="2"/>
      <c r="H356" s="2"/>
    </row>
    <row r="357" spans="1:8" ht="29.25" hidden="1" customHeight="1" x14ac:dyDescent="0.25">
      <c r="A357" s="354">
        <v>1</v>
      </c>
      <c r="B357" s="131" t="e">
        <f t="shared" si="14"/>
        <v>#REF!</v>
      </c>
      <c r="C357" s="21" t="s">
        <v>198</v>
      </c>
      <c r="D357" s="24"/>
      <c r="E357" s="508">
        <f>E351+E349</f>
        <v>250</v>
      </c>
      <c r="F357" s="24"/>
      <c r="G357" s="24"/>
      <c r="H357" s="24"/>
    </row>
    <row r="358" spans="1:8" ht="15.75" hidden="1" customHeight="1" x14ac:dyDescent="0.25">
      <c r="A358" s="354">
        <v>1</v>
      </c>
      <c r="B358" s="131" t="e">
        <f t="shared" si="14"/>
        <v>#REF!</v>
      </c>
      <c r="C358" s="22" t="s">
        <v>112</v>
      </c>
      <c r="D358" s="13"/>
      <c r="E358" s="508">
        <f>E355+E346*2.6+E348/4.2+E357</f>
        <v>41315.569047619043</v>
      </c>
      <c r="F358" s="2"/>
      <c r="G358" s="2"/>
      <c r="H358" s="2"/>
    </row>
    <row r="359" spans="1:8" ht="15.75" hidden="1" customHeight="1" x14ac:dyDescent="0.25">
      <c r="A359" s="354">
        <v>1</v>
      </c>
      <c r="B359" s="131" t="e">
        <f t="shared" si="14"/>
        <v>#REF!</v>
      </c>
      <c r="C359" s="44" t="s">
        <v>7</v>
      </c>
      <c r="D359" s="63"/>
      <c r="E359" s="53"/>
      <c r="F359" s="2"/>
      <c r="G359" s="2"/>
      <c r="H359" s="2"/>
    </row>
    <row r="360" spans="1:8" ht="15.75" hidden="1" customHeight="1" x14ac:dyDescent="0.25">
      <c r="A360" s="354">
        <v>1</v>
      </c>
      <c r="B360" s="131" t="e">
        <f t="shared" si="14"/>
        <v>#REF!</v>
      </c>
      <c r="C360" s="293" t="s">
        <v>18</v>
      </c>
      <c r="D360" s="63"/>
      <c r="E360" s="53"/>
      <c r="F360" s="2"/>
      <c r="G360" s="2"/>
      <c r="H360" s="2"/>
    </row>
    <row r="361" spans="1:8" ht="15.75" hidden="1" customHeight="1" x14ac:dyDescent="0.25">
      <c r="A361" s="354">
        <v>1</v>
      </c>
      <c r="B361" s="131" t="e">
        <f t="shared" si="14"/>
        <v>#REF!</v>
      </c>
      <c r="C361" s="539" t="s">
        <v>21</v>
      </c>
      <c r="D361" s="24">
        <v>240</v>
      </c>
      <c r="E361" s="502">
        <v>151</v>
      </c>
      <c r="F361" s="540">
        <v>6</v>
      </c>
      <c r="G361" s="2">
        <f>ROUND(H361/D361,0)</f>
        <v>4</v>
      </c>
      <c r="H361" s="2">
        <f>ROUND(E361*F361,0)</f>
        <v>906</v>
      </c>
    </row>
    <row r="362" spans="1:8" ht="15.75" hidden="1" customHeight="1" x14ac:dyDescent="0.25">
      <c r="A362" s="354">
        <v>1</v>
      </c>
      <c r="B362" s="131" t="e">
        <f t="shared" si="14"/>
        <v>#REF!</v>
      </c>
      <c r="C362" s="539" t="s">
        <v>22</v>
      </c>
      <c r="D362" s="24">
        <v>240</v>
      </c>
      <c r="E362" s="502">
        <v>386</v>
      </c>
      <c r="F362" s="540">
        <v>7</v>
      </c>
      <c r="G362" s="2">
        <f>ROUND(H362/D362,0)</f>
        <v>11</v>
      </c>
      <c r="H362" s="2">
        <f>ROUND(E362*F362,0)</f>
        <v>2702</v>
      </c>
    </row>
    <row r="363" spans="1:8" ht="15.75" hidden="1" customHeight="1" x14ac:dyDescent="0.25">
      <c r="A363" s="354">
        <v>1</v>
      </c>
      <c r="B363" s="131" t="e">
        <f t="shared" si="14"/>
        <v>#REF!</v>
      </c>
      <c r="C363" s="295" t="s">
        <v>94</v>
      </c>
      <c r="D363" s="52"/>
      <c r="E363" s="506">
        <f>SUM(E361:E362)</f>
        <v>537</v>
      </c>
      <c r="F363" s="158">
        <f>H363/E363</f>
        <v>6.7188081936685284</v>
      </c>
      <c r="G363" s="31">
        <f>G361+G362</f>
        <v>15</v>
      </c>
      <c r="H363" s="31">
        <f>H361+H362</f>
        <v>3608</v>
      </c>
    </row>
    <row r="364" spans="1:8" ht="15.75" hidden="1" customHeight="1" x14ac:dyDescent="0.25">
      <c r="A364" s="354">
        <v>1</v>
      </c>
      <c r="B364" s="131" t="e">
        <f t="shared" si="14"/>
        <v>#REF!</v>
      </c>
      <c r="C364" s="298" t="s">
        <v>88</v>
      </c>
      <c r="D364" s="64"/>
      <c r="E364" s="541">
        <f>E363</f>
        <v>537</v>
      </c>
      <c r="F364" s="158">
        <f>H364/E364</f>
        <v>6.7188081936685284</v>
      </c>
      <c r="G364" s="289">
        <f>G363</f>
        <v>15</v>
      </c>
      <c r="H364" s="289">
        <f>H363</f>
        <v>3608</v>
      </c>
    </row>
    <row r="365" spans="1:8" ht="16.5" hidden="1" customHeight="1" thickBot="1" x14ac:dyDescent="0.3">
      <c r="A365" s="354">
        <v>1</v>
      </c>
      <c r="B365" s="131" t="e">
        <f t="shared" si="14"/>
        <v>#REF!</v>
      </c>
      <c r="C365" s="495" t="s">
        <v>213</v>
      </c>
      <c r="D365" s="370"/>
      <c r="E365" s="542"/>
      <c r="F365" s="489"/>
      <c r="G365" s="489"/>
      <c r="H365" s="489"/>
    </row>
    <row r="366" spans="1:8" ht="15.75" hidden="1" customHeight="1" x14ac:dyDescent="0.25">
      <c r="A366" s="354">
        <v>1</v>
      </c>
      <c r="B366" s="131" t="e">
        <f t="shared" si="14"/>
        <v>#REF!</v>
      </c>
      <c r="C366" s="535"/>
      <c r="D366" s="375"/>
      <c r="E366" s="493"/>
      <c r="F366" s="494"/>
      <c r="G366" s="494"/>
      <c r="H366" s="494"/>
    </row>
    <row r="367" spans="1:8" ht="29.25" hidden="1" customHeight="1" x14ac:dyDescent="0.25">
      <c r="A367" s="354">
        <v>1</v>
      </c>
      <c r="B367" s="131" t="e">
        <f t="shared" si="14"/>
        <v>#REF!</v>
      </c>
      <c r="C367" s="686" t="s">
        <v>353</v>
      </c>
      <c r="D367" s="52"/>
      <c r="E367" s="53"/>
      <c r="F367" s="2"/>
      <c r="G367" s="2"/>
      <c r="H367" s="2"/>
    </row>
    <row r="368" spans="1:8" ht="15.75" hidden="1" customHeight="1" x14ac:dyDescent="0.25">
      <c r="A368" s="354">
        <v>1</v>
      </c>
      <c r="B368" s="131" t="e">
        <f t="shared" si="14"/>
        <v>#REF!</v>
      </c>
      <c r="C368" s="499" t="s">
        <v>4</v>
      </c>
      <c r="D368" s="52"/>
      <c r="E368" s="53"/>
      <c r="F368" s="2"/>
      <c r="G368" s="2"/>
      <c r="H368" s="2"/>
    </row>
    <row r="369" spans="1:8" ht="15.75" hidden="1" customHeight="1" x14ac:dyDescent="0.25">
      <c r="A369" s="354">
        <v>1</v>
      </c>
      <c r="B369" s="131" t="e">
        <f t="shared" si="14"/>
        <v>#REF!</v>
      </c>
      <c r="C369" s="500" t="s">
        <v>26</v>
      </c>
      <c r="D369" s="52">
        <v>300</v>
      </c>
      <c r="E369" s="53">
        <v>1380</v>
      </c>
      <c r="F369" s="47">
        <v>5.9</v>
      </c>
      <c r="G369" s="2">
        <f>ROUND(H369/D369,0)</f>
        <v>27</v>
      </c>
      <c r="H369" s="2">
        <f>ROUND(E369*F369,0)</f>
        <v>8142</v>
      </c>
    </row>
    <row r="370" spans="1:8" ht="15.75" hidden="1" customHeight="1" x14ac:dyDescent="0.25">
      <c r="A370" s="354">
        <v>1</v>
      </c>
      <c r="B370" s="131" t="e">
        <f t="shared" si="14"/>
        <v>#REF!</v>
      </c>
      <c r="C370" s="500" t="s">
        <v>22</v>
      </c>
      <c r="D370" s="52">
        <v>340</v>
      </c>
      <c r="E370" s="53">
        <v>760</v>
      </c>
      <c r="F370" s="47">
        <v>5</v>
      </c>
      <c r="G370" s="2">
        <f>ROUND(H370/D370,0)</f>
        <v>11</v>
      </c>
      <c r="H370" s="2">
        <f>ROUND(E370*F370,0)</f>
        <v>3800</v>
      </c>
    </row>
    <row r="371" spans="1:8" ht="15.75" hidden="1" customHeight="1" x14ac:dyDescent="0.25">
      <c r="A371" s="354">
        <v>1</v>
      </c>
      <c r="B371" s="131" t="e">
        <f t="shared" si="14"/>
        <v>#REF!</v>
      </c>
      <c r="C371" s="526" t="s">
        <v>5</v>
      </c>
      <c r="D371" s="63"/>
      <c r="E371" s="508">
        <f>SUM(E369:E370)</f>
        <v>2140</v>
      </c>
      <c r="F371" s="158">
        <f>H371/E371</f>
        <v>5.5803738317757006</v>
      </c>
      <c r="G371" s="29">
        <f>G369+G370</f>
        <v>38</v>
      </c>
      <c r="H371" s="29">
        <f>H369+H370</f>
        <v>11942</v>
      </c>
    </row>
    <row r="372" spans="1:8" ht="15.75" hidden="1" customHeight="1" x14ac:dyDescent="0.25">
      <c r="A372" s="354">
        <v>1</v>
      </c>
      <c r="B372" s="131" t="e">
        <f t="shared" si="14"/>
        <v>#REF!</v>
      </c>
      <c r="C372" s="12" t="s">
        <v>98</v>
      </c>
      <c r="D372" s="13"/>
      <c r="E372" s="53"/>
      <c r="F372" s="158"/>
      <c r="G372" s="29"/>
      <c r="H372" s="29"/>
    </row>
    <row r="373" spans="1:8" ht="15.75" hidden="1" customHeight="1" x14ac:dyDescent="0.25">
      <c r="A373" s="354">
        <v>1</v>
      </c>
      <c r="B373" s="131" t="e">
        <f t="shared" si="14"/>
        <v>#REF!</v>
      </c>
      <c r="C373" s="14" t="s">
        <v>251</v>
      </c>
      <c r="D373" s="13"/>
      <c r="E373" s="508">
        <f>E374+E375+E381+E380+E379</f>
        <v>12978</v>
      </c>
      <c r="F373" s="158"/>
      <c r="G373" s="29"/>
      <c r="H373" s="29"/>
    </row>
    <row r="374" spans="1:8" ht="15.75" hidden="1" customHeight="1" x14ac:dyDescent="0.25">
      <c r="A374" s="354">
        <v>1</v>
      </c>
      <c r="B374" s="131" t="e">
        <f t="shared" si="14"/>
        <v>#REF!</v>
      </c>
      <c r="C374" s="15" t="s">
        <v>252</v>
      </c>
      <c r="D374" s="13"/>
      <c r="E374" s="53"/>
      <c r="F374" s="158"/>
      <c r="G374" s="29"/>
      <c r="H374" s="29"/>
    </row>
    <row r="375" spans="1:8" ht="30" hidden="1" customHeight="1" x14ac:dyDescent="0.25">
      <c r="A375" s="354">
        <v>1</v>
      </c>
      <c r="B375" s="131" t="e">
        <f t="shared" si="14"/>
        <v>#REF!</v>
      </c>
      <c r="C375" s="16" t="s">
        <v>388</v>
      </c>
      <c r="D375" s="13"/>
      <c r="E375" s="53">
        <f>E376+E377/4</f>
        <v>12525</v>
      </c>
      <c r="F375" s="158"/>
      <c r="G375" s="43"/>
      <c r="H375" s="43"/>
    </row>
    <row r="376" spans="1:8" s="145" customFormat="1" ht="15.75" hidden="1" customHeight="1" x14ac:dyDescent="0.25">
      <c r="A376" s="354">
        <v>1</v>
      </c>
      <c r="B376" s="131" t="e">
        <f t="shared" si="14"/>
        <v>#REF!</v>
      </c>
      <c r="C376" s="15" t="s">
        <v>389</v>
      </c>
      <c r="D376" s="13"/>
      <c r="E376" s="17">
        <v>12200</v>
      </c>
      <c r="F376" s="10"/>
      <c r="G376" s="10"/>
      <c r="H376" s="10"/>
    </row>
    <row r="377" spans="1:8" ht="30" hidden="1" customHeight="1" x14ac:dyDescent="0.25">
      <c r="A377" s="354">
        <v>1</v>
      </c>
      <c r="B377" s="131" t="e">
        <f t="shared" si="14"/>
        <v>#REF!</v>
      </c>
      <c r="C377" s="15" t="s">
        <v>390</v>
      </c>
      <c r="D377" s="13"/>
      <c r="E377" s="53">
        <v>1300</v>
      </c>
      <c r="F377" s="158"/>
      <c r="G377" s="29"/>
      <c r="H377" s="29"/>
    </row>
    <row r="378" spans="1:8" ht="45" hidden="1" customHeight="1" x14ac:dyDescent="0.25">
      <c r="A378" s="354">
        <v>1</v>
      </c>
      <c r="B378" s="131" t="e">
        <f t="shared" si="14"/>
        <v>#REF!</v>
      </c>
      <c r="C378" s="15" t="s">
        <v>391</v>
      </c>
      <c r="D378" s="13"/>
      <c r="E378" s="53"/>
      <c r="F378" s="158"/>
      <c r="G378" s="29"/>
      <c r="H378" s="29"/>
    </row>
    <row r="379" spans="1:8" ht="45" hidden="1" customHeight="1" x14ac:dyDescent="0.25">
      <c r="A379" s="354">
        <v>1</v>
      </c>
      <c r="B379" s="131" t="e">
        <f t="shared" si="14"/>
        <v>#REF!</v>
      </c>
      <c r="C379" s="15" t="s">
        <v>392</v>
      </c>
      <c r="D379" s="13"/>
      <c r="E379" s="53"/>
      <c r="F379" s="158"/>
      <c r="G379" s="29"/>
      <c r="H379" s="29"/>
    </row>
    <row r="380" spans="1:8" ht="45" hidden="1" customHeight="1" x14ac:dyDescent="0.25">
      <c r="A380" s="354">
        <v>1</v>
      </c>
      <c r="B380" s="131" t="e">
        <f t="shared" si="14"/>
        <v>#REF!</v>
      </c>
      <c r="C380" s="15" t="s">
        <v>393</v>
      </c>
      <c r="D380" s="13"/>
      <c r="E380" s="53">
        <v>453</v>
      </c>
      <c r="F380" s="158"/>
      <c r="G380" s="29"/>
      <c r="H380" s="29"/>
    </row>
    <row r="381" spans="1:8" ht="75" hidden="1" customHeight="1" x14ac:dyDescent="0.25">
      <c r="A381" s="354">
        <v>1</v>
      </c>
      <c r="B381" s="131" t="e">
        <f t="shared" si="14"/>
        <v>#REF!</v>
      </c>
      <c r="C381" s="18" t="s">
        <v>394</v>
      </c>
      <c r="D381" s="13"/>
      <c r="E381" s="53"/>
      <c r="F381" s="158"/>
      <c r="G381" s="29"/>
      <c r="H381" s="29"/>
    </row>
    <row r="382" spans="1:8" ht="15.75" hidden="1" customHeight="1" x14ac:dyDescent="0.25">
      <c r="A382" s="354">
        <v>1</v>
      </c>
      <c r="B382" s="131" t="e">
        <f t="shared" si="14"/>
        <v>#REF!</v>
      </c>
      <c r="C382" s="14" t="s">
        <v>253</v>
      </c>
      <c r="D382" s="13"/>
      <c r="E382" s="53">
        <f>E383+E385/9.4</f>
        <v>2699.5744680851062</v>
      </c>
      <c r="F382" s="158"/>
      <c r="G382" s="29"/>
      <c r="H382" s="29"/>
    </row>
    <row r="383" spans="1:8" ht="15.75" hidden="1" customHeight="1" x14ac:dyDescent="0.25">
      <c r="A383" s="354">
        <v>1</v>
      </c>
      <c r="B383" s="131" t="e">
        <f t="shared" si="14"/>
        <v>#REF!</v>
      </c>
      <c r="C383" s="14" t="s">
        <v>254</v>
      </c>
      <c r="D383" s="13"/>
      <c r="E383" s="53">
        <v>2200</v>
      </c>
      <c r="F383" s="158"/>
      <c r="G383" s="29"/>
      <c r="H383" s="29"/>
    </row>
    <row r="384" spans="1:8" ht="15.75" hidden="1" customHeight="1" x14ac:dyDescent="0.25">
      <c r="A384" s="354">
        <v>1</v>
      </c>
      <c r="B384" s="131" t="e">
        <f t="shared" si="14"/>
        <v>#REF!</v>
      </c>
      <c r="C384" s="15" t="s">
        <v>255</v>
      </c>
      <c r="D384" s="13"/>
      <c r="E384" s="53">
        <f>E385/9.4</f>
        <v>499.57446808510639</v>
      </c>
      <c r="F384" s="158"/>
      <c r="G384" s="29"/>
      <c r="H384" s="29"/>
    </row>
    <row r="385" spans="1:8" ht="15.75" hidden="1" customHeight="1" x14ac:dyDescent="0.25">
      <c r="A385" s="354">
        <v>1</v>
      </c>
      <c r="B385" s="131" t="e">
        <f t="shared" si="14"/>
        <v>#REF!</v>
      </c>
      <c r="C385" s="42" t="s">
        <v>261</v>
      </c>
      <c r="D385" s="13"/>
      <c r="E385" s="53">
        <v>4696</v>
      </c>
      <c r="F385" s="158"/>
      <c r="G385" s="29"/>
      <c r="H385" s="29"/>
    </row>
    <row r="386" spans="1:8" ht="29.25" hidden="1" customHeight="1" x14ac:dyDescent="0.25">
      <c r="A386" s="354">
        <v>1</v>
      </c>
      <c r="B386" s="131" t="e">
        <f t="shared" si="14"/>
        <v>#REF!</v>
      </c>
      <c r="C386" s="14" t="s">
        <v>256</v>
      </c>
      <c r="D386" s="13"/>
      <c r="E386" s="53"/>
      <c r="F386" s="158"/>
      <c r="G386" s="29"/>
      <c r="H386" s="29"/>
    </row>
    <row r="387" spans="1:8" ht="15.75" hidden="1" customHeight="1" x14ac:dyDescent="0.25">
      <c r="A387" s="354">
        <v>1</v>
      </c>
      <c r="B387" s="131" t="e">
        <f t="shared" si="14"/>
        <v>#REF!</v>
      </c>
      <c r="C387" s="19" t="s">
        <v>117</v>
      </c>
      <c r="D387" s="13"/>
      <c r="E387" s="53"/>
      <c r="F387" s="158"/>
      <c r="G387" s="29"/>
      <c r="H387" s="29"/>
    </row>
    <row r="388" spans="1:8" ht="57.75" hidden="1" customHeight="1" x14ac:dyDescent="0.25">
      <c r="A388" s="354">
        <v>1</v>
      </c>
      <c r="B388" s="131" t="e">
        <f t="shared" si="14"/>
        <v>#REF!</v>
      </c>
      <c r="C388" s="21" t="s">
        <v>259</v>
      </c>
      <c r="D388" s="13"/>
      <c r="E388" s="53">
        <v>150</v>
      </c>
      <c r="F388" s="158"/>
      <c r="G388" s="29"/>
      <c r="H388" s="29"/>
    </row>
    <row r="389" spans="1:8" ht="15.75" hidden="1" customHeight="1" x14ac:dyDescent="0.25">
      <c r="A389" s="354">
        <v>1</v>
      </c>
      <c r="B389" s="131" t="e">
        <f t="shared" si="14"/>
        <v>#REF!</v>
      </c>
      <c r="C389" s="20" t="s">
        <v>165</v>
      </c>
      <c r="D389" s="13"/>
      <c r="E389" s="508">
        <f>E390+E391+E392</f>
        <v>1300</v>
      </c>
      <c r="F389" s="2"/>
      <c r="G389" s="2"/>
      <c r="H389" s="2"/>
    </row>
    <row r="390" spans="1:8" ht="45" hidden="1" customHeight="1" x14ac:dyDescent="0.25">
      <c r="A390" s="354">
        <v>1</v>
      </c>
      <c r="B390" s="131" t="e">
        <f t="shared" si="14"/>
        <v>#REF!</v>
      </c>
      <c r="C390" s="377" t="s">
        <v>292</v>
      </c>
      <c r="D390" s="13"/>
      <c r="E390" s="53">
        <v>200</v>
      </c>
      <c r="F390" s="2"/>
      <c r="G390" s="2"/>
      <c r="H390" s="2"/>
    </row>
    <row r="391" spans="1:8" s="55" customFormat="1" ht="45" hidden="1" customHeight="1" x14ac:dyDescent="0.25">
      <c r="A391" s="354">
        <v>1</v>
      </c>
      <c r="B391" s="131" t="e">
        <f t="shared" si="14"/>
        <v>#REF!</v>
      </c>
      <c r="C391" s="147" t="s">
        <v>283</v>
      </c>
      <c r="D391" s="13"/>
      <c r="E391" s="53">
        <v>600</v>
      </c>
      <c r="F391" s="373"/>
      <c r="G391" s="373"/>
      <c r="H391" s="29"/>
    </row>
    <row r="392" spans="1:8" s="55" customFormat="1" ht="15.75" hidden="1" customHeight="1" x14ac:dyDescent="0.25">
      <c r="A392" s="354">
        <v>1</v>
      </c>
      <c r="B392" s="131" t="e">
        <f t="shared" si="14"/>
        <v>#REF!</v>
      </c>
      <c r="C392" s="147" t="s">
        <v>293</v>
      </c>
      <c r="D392" s="13"/>
      <c r="E392" s="53">
        <v>500</v>
      </c>
      <c r="F392" s="373"/>
      <c r="G392" s="373"/>
      <c r="H392" s="29"/>
    </row>
    <row r="393" spans="1:8" ht="15.75" hidden="1" customHeight="1" x14ac:dyDescent="0.25">
      <c r="A393" s="354">
        <v>1</v>
      </c>
      <c r="B393" s="131" t="e">
        <f t="shared" si="14"/>
        <v>#REF!</v>
      </c>
      <c r="C393" s="21" t="s">
        <v>195</v>
      </c>
      <c r="D393" s="13"/>
      <c r="E393" s="508">
        <f>E373</f>
        <v>12978</v>
      </c>
      <c r="F393" s="2"/>
      <c r="G393" s="2"/>
      <c r="H393" s="2"/>
    </row>
    <row r="394" spans="1:8" ht="15.75" hidden="1" customHeight="1" x14ac:dyDescent="0.25">
      <c r="A394" s="354">
        <v>1</v>
      </c>
      <c r="B394" s="131" t="e">
        <f t="shared" si="14"/>
        <v>#REF!</v>
      </c>
      <c r="C394" s="21" t="s">
        <v>197</v>
      </c>
      <c r="D394" s="13"/>
      <c r="E394" s="508">
        <f>E382</f>
        <v>2699.5744680851062</v>
      </c>
      <c r="F394" s="2"/>
      <c r="G394" s="2"/>
      <c r="H394" s="2"/>
    </row>
    <row r="395" spans="1:8" ht="29.25" hidden="1" customHeight="1" x14ac:dyDescent="0.25">
      <c r="A395" s="354">
        <v>1</v>
      </c>
      <c r="B395" s="131" t="e">
        <f t="shared" si="14"/>
        <v>#REF!</v>
      </c>
      <c r="C395" s="21" t="s">
        <v>198</v>
      </c>
      <c r="D395" s="13"/>
      <c r="E395" s="508">
        <f>E388+E386</f>
        <v>150</v>
      </c>
      <c r="F395" s="2"/>
      <c r="G395" s="2"/>
      <c r="H395" s="2"/>
    </row>
    <row r="396" spans="1:8" ht="15.75" hidden="1" customHeight="1" x14ac:dyDescent="0.25">
      <c r="A396" s="354">
        <v>1</v>
      </c>
      <c r="B396" s="131" t="e">
        <f t="shared" si="14"/>
        <v>#REF!</v>
      </c>
      <c r="C396" s="22" t="s">
        <v>112</v>
      </c>
      <c r="D396" s="13"/>
      <c r="E396" s="508">
        <f>E393+E395+E383*2.6+E385/4.2</f>
        <v>19966.095238095237</v>
      </c>
      <c r="F396" s="2"/>
      <c r="G396" s="2"/>
      <c r="H396" s="2"/>
    </row>
    <row r="397" spans="1:8" ht="15.75" hidden="1" customHeight="1" x14ac:dyDescent="0.25">
      <c r="A397" s="354">
        <v>1</v>
      </c>
      <c r="B397" s="131" t="e">
        <f t="shared" si="14"/>
        <v>#REF!</v>
      </c>
      <c r="C397" s="44" t="s">
        <v>7</v>
      </c>
      <c r="D397" s="63"/>
      <c r="E397" s="53"/>
      <c r="F397" s="2"/>
      <c r="G397" s="2"/>
      <c r="H397" s="2"/>
    </row>
    <row r="398" spans="1:8" ht="15.75" hidden="1" customHeight="1" x14ac:dyDescent="0.25">
      <c r="A398" s="354">
        <v>1</v>
      </c>
      <c r="B398" s="131" t="e">
        <f t="shared" si="14"/>
        <v>#REF!</v>
      </c>
      <c r="C398" s="293" t="s">
        <v>18</v>
      </c>
      <c r="D398" s="63"/>
      <c r="E398" s="53"/>
      <c r="F398" s="2"/>
      <c r="G398" s="2"/>
      <c r="H398" s="2"/>
    </row>
    <row r="399" spans="1:8" ht="15.75" hidden="1" customHeight="1" x14ac:dyDescent="0.25">
      <c r="A399" s="354">
        <v>1</v>
      </c>
      <c r="B399" s="131" t="e">
        <f t="shared" si="14"/>
        <v>#REF!</v>
      </c>
      <c r="C399" s="539" t="s">
        <v>21</v>
      </c>
      <c r="D399" s="52">
        <v>240</v>
      </c>
      <c r="E399" s="53">
        <v>81</v>
      </c>
      <c r="F399" s="47">
        <v>3</v>
      </c>
      <c r="G399" s="2">
        <f>ROUND(H399/D399,0)</f>
        <v>1</v>
      </c>
      <c r="H399" s="2">
        <f>ROUND(E399*F399,0)</f>
        <v>243</v>
      </c>
    </row>
    <row r="400" spans="1:8" ht="15.75" hidden="1" customHeight="1" x14ac:dyDescent="0.25">
      <c r="A400" s="354">
        <v>1</v>
      </c>
      <c r="B400" s="131" t="e">
        <f t="shared" si="14"/>
        <v>#REF!</v>
      </c>
      <c r="C400" s="539" t="s">
        <v>22</v>
      </c>
      <c r="D400" s="52">
        <v>240</v>
      </c>
      <c r="E400" s="53">
        <v>300</v>
      </c>
      <c r="F400" s="538">
        <v>7</v>
      </c>
      <c r="G400" s="2">
        <f>ROUND(H400/D400,0)</f>
        <v>9</v>
      </c>
      <c r="H400" s="2">
        <f>ROUND(E400*F400,0)</f>
        <v>2100</v>
      </c>
    </row>
    <row r="401" spans="1:8" ht="15.75" hidden="1" customHeight="1" x14ac:dyDescent="0.25">
      <c r="A401" s="354">
        <v>1</v>
      </c>
      <c r="B401" s="131" t="e">
        <f t="shared" si="14"/>
        <v>#REF!</v>
      </c>
      <c r="C401" s="295" t="s">
        <v>94</v>
      </c>
      <c r="D401" s="52"/>
      <c r="E401" s="506">
        <f>SUM(E399:E400)</f>
        <v>381</v>
      </c>
      <c r="F401" s="158">
        <f>H401/E401</f>
        <v>6.1496062992125982</v>
      </c>
      <c r="G401" s="31">
        <f>SUM(G399:G400)</f>
        <v>10</v>
      </c>
      <c r="H401" s="31">
        <f>SUM(H399:H400)</f>
        <v>2343</v>
      </c>
    </row>
    <row r="402" spans="1:8" ht="15.75" hidden="1" customHeight="1" x14ac:dyDescent="0.25">
      <c r="A402" s="354">
        <v>1</v>
      </c>
      <c r="B402" s="131" t="e">
        <f t="shared" si="14"/>
        <v>#REF!</v>
      </c>
      <c r="C402" s="298" t="s">
        <v>88</v>
      </c>
      <c r="D402" s="64"/>
      <c r="E402" s="518">
        <f>E401</f>
        <v>381</v>
      </c>
      <c r="F402" s="158">
        <f>H402/E402</f>
        <v>6.1496062992125982</v>
      </c>
      <c r="G402" s="289">
        <f>G401</f>
        <v>10</v>
      </c>
      <c r="H402" s="289">
        <f>H401</f>
        <v>2343</v>
      </c>
    </row>
    <row r="403" spans="1:8" ht="16.5" hidden="1" customHeight="1" thickBot="1" x14ac:dyDescent="0.3">
      <c r="A403" s="354">
        <v>1</v>
      </c>
      <c r="B403" s="131" t="e">
        <f t="shared" ref="B403:B470" si="15">B402+1</f>
        <v>#REF!</v>
      </c>
      <c r="C403" s="495" t="s">
        <v>213</v>
      </c>
      <c r="D403" s="489"/>
      <c r="E403" s="543"/>
      <c r="F403" s="489"/>
      <c r="G403" s="489"/>
      <c r="H403" s="489"/>
    </row>
    <row r="404" spans="1:8" ht="15.75" hidden="1" customHeight="1" x14ac:dyDescent="0.25">
      <c r="A404" s="354">
        <v>1</v>
      </c>
      <c r="B404" s="131" t="e">
        <f t="shared" si="15"/>
        <v>#REF!</v>
      </c>
      <c r="C404" s="497"/>
      <c r="D404" s="378"/>
      <c r="E404" s="53"/>
      <c r="F404" s="2"/>
      <c r="G404" s="2"/>
      <c r="H404" s="2"/>
    </row>
    <row r="405" spans="1:8" ht="29.25" customHeight="1" x14ac:dyDescent="0.25">
      <c r="A405" s="354">
        <v>1</v>
      </c>
      <c r="B405" s="131" t="e">
        <f t="shared" si="15"/>
        <v>#REF!</v>
      </c>
      <c r="C405" s="686" t="s">
        <v>354</v>
      </c>
      <c r="D405" s="63"/>
      <c r="E405" s="53"/>
      <c r="F405" s="2"/>
      <c r="G405" s="2"/>
      <c r="H405" s="2"/>
    </row>
    <row r="406" spans="1:8" s="55" customFormat="1" ht="45.75" customHeight="1" x14ac:dyDescent="0.25">
      <c r="A406" s="354">
        <v>1</v>
      </c>
      <c r="B406" s="131" t="e">
        <f t="shared" si="15"/>
        <v>#REF!</v>
      </c>
      <c r="C406" s="128" t="s">
        <v>250</v>
      </c>
      <c r="D406" s="12"/>
      <c r="E406" s="512"/>
      <c r="F406" s="54"/>
      <c r="G406" s="54"/>
      <c r="H406" s="54"/>
    </row>
    <row r="407" spans="1:8" s="55" customFormat="1" ht="15.75" customHeight="1" x14ac:dyDescent="0.25">
      <c r="A407" s="354">
        <v>1</v>
      </c>
      <c r="B407" s="131" t="e">
        <f t="shared" si="15"/>
        <v>#REF!</v>
      </c>
      <c r="C407" s="14" t="s">
        <v>192</v>
      </c>
      <c r="D407" s="12"/>
      <c r="E407" s="512">
        <f>E408+E409+E411+E412+E410</f>
        <v>54800</v>
      </c>
      <c r="F407" s="54"/>
      <c r="G407" s="54"/>
      <c r="H407" s="54"/>
    </row>
    <row r="408" spans="1:8" s="55" customFormat="1" ht="15.75" customHeight="1" x14ac:dyDescent="0.25">
      <c r="A408" s="354">
        <v>1</v>
      </c>
      <c r="B408" s="131" t="e">
        <f t="shared" si="15"/>
        <v>#REF!</v>
      </c>
      <c r="C408" s="18" t="s">
        <v>116</v>
      </c>
      <c r="D408" s="12"/>
      <c r="E408" s="512"/>
      <c r="F408" s="54"/>
      <c r="G408" s="54"/>
      <c r="H408" s="54"/>
    </row>
    <row r="409" spans="1:8" s="55" customFormat="1" ht="30" customHeight="1" x14ac:dyDescent="0.25">
      <c r="A409" s="354">
        <v>1</v>
      </c>
      <c r="B409" s="131" t="e">
        <f t="shared" si="15"/>
        <v>#REF!</v>
      </c>
      <c r="C409" s="15" t="s">
        <v>397</v>
      </c>
      <c r="D409" s="12"/>
      <c r="E409" s="56">
        <v>32300</v>
      </c>
      <c r="F409" s="54"/>
      <c r="G409" s="54"/>
      <c r="H409" s="54"/>
    </row>
    <row r="410" spans="1:8" s="55" customFormat="1" ht="45" customHeight="1" x14ac:dyDescent="0.25">
      <c r="A410" s="354">
        <v>1</v>
      </c>
      <c r="B410" s="131" t="e">
        <f t="shared" si="15"/>
        <v>#REF!</v>
      </c>
      <c r="C410" s="15" t="s">
        <v>398</v>
      </c>
      <c r="D410" s="12"/>
      <c r="E410" s="56">
        <v>2500</v>
      </c>
      <c r="F410" s="54"/>
      <c r="G410" s="54"/>
      <c r="H410" s="54"/>
    </row>
    <row r="411" spans="1:8" s="55" customFormat="1" ht="45" customHeight="1" x14ac:dyDescent="0.25">
      <c r="A411" s="354">
        <v>1</v>
      </c>
      <c r="B411" s="131" t="e">
        <f t="shared" si="15"/>
        <v>#REF!</v>
      </c>
      <c r="C411" s="15" t="s">
        <v>399</v>
      </c>
      <c r="D411" s="12"/>
      <c r="E411" s="56">
        <v>16000</v>
      </c>
      <c r="F411" s="54"/>
      <c r="G411" s="54"/>
      <c r="H411" s="54"/>
    </row>
    <row r="412" spans="1:8" s="55" customFormat="1" ht="75" customHeight="1" x14ac:dyDescent="0.25">
      <c r="A412" s="354">
        <v>1</v>
      </c>
      <c r="B412" s="131" t="e">
        <f t="shared" si="15"/>
        <v>#REF!</v>
      </c>
      <c r="C412" s="15" t="s">
        <v>400</v>
      </c>
      <c r="D412" s="12"/>
      <c r="E412" s="56">
        <v>4000</v>
      </c>
      <c r="F412" s="54"/>
      <c r="G412" s="54"/>
      <c r="H412" s="54"/>
    </row>
    <row r="413" spans="1:8" s="55" customFormat="1" ht="15.75" customHeight="1" x14ac:dyDescent="0.25">
      <c r="A413" s="354">
        <v>1</v>
      </c>
      <c r="B413" s="131" t="e">
        <f t="shared" si="15"/>
        <v>#REF!</v>
      </c>
      <c r="C413" s="57" t="s">
        <v>90</v>
      </c>
      <c r="D413" s="12"/>
      <c r="E413" s="512">
        <f>E414+E416</f>
        <v>63353</v>
      </c>
      <c r="F413" s="54"/>
      <c r="G413" s="54"/>
      <c r="H413" s="54"/>
    </row>
    <row r="414" spans="1:8" s="55" customFormat="1" ht="15.75" customHeight="1" x14ac:dyDescent="0.25">
      <c r="A414" s="354">
        <v>1</v>
      </c>
      <c r="B414" s="131" t="e">
        <f t="shared" si="15"/>
        <v>#REF!</v>
      </c>
      <c r="C414" s="15" t="s">
        <v>145</v>
      </c>
      <c r="D414" s="12"/>
      <c r="E414" s="56">
        <v>57424</v>
      </c>
      <c r="F414" s="54"/>
      <c r="G414" s="54"/>
      <c r="H414" s="54"/>
    </row>
    <row r="415" spans="1:8" s="55" customFormat="1" ht="45" x14ac:dyDescent="0.25">
      <c r="A415" s="354">
        <v>1</v>
      </c>
      <c r="B415" s="131" t="e">
        <f t="shared" si="15"/>
        <v>#REF!</v>
      </c>
      <c r="C415" s="15" t="s">
        <v>414</v>
      </c>
      <c r="D415" s="12"/>
      <c r="E415" s="56"/>
      <c r="F415" s="54"/>
      <c r="G415" s="54"/>
      <c r="H415" s="54"/>
    </row>
    <row r="416" spans="1:8" s="55" customFormat="1" ht="60" x14ac:dyDescent="0.25">
      <c r="A416" s="354"/>
      <c r="B416" s="131"/>
      <c r="C416" s="15" t="s">
        <v>421</v>
      </c>
      <c r="D416" s="12"/>
      <c r="E416" s="56">
        <v>5929</v>
      </c>
      <c r="F416" s="54"/>
      <c r="G416" s="54"/>
      <c r="H416" s="54"/>
    </row>
    <row r="417" spans="1:8" s="55" customFormat="1" ht="15.75" customHeight="1" x14ac:dyDescent="0.25">
      <c r="A417" s="354">
        <v>1</v>
      </c>
      <c r="B417" s="131" t="e">
        <f>B415+1</f>
        <v>#REF!</v>
      </c>
      <c r="C417" s="33" t="s">
        <v>98</v>
      </c>
      <c r="D417" s="12"/>
      <c r="E417" s="56"/>
      <c r="F417" s="54"/>
      <c r="G417" s="54"/>
      <c r="H417" s="54"/>
    </row>
    <row r="418" spans="1:8" s="55" customFormat="1" ht="76.5" customHeight="1" x14ac:dyDescent="0.25">
      <c r="A418" s="354">
        <v>1</v>
      </c>
      <c r="B418" s="131" t="e">
        <f t="shared" si="15"/>
        <v>#REF!</v>
      </c>
      <c r="C418" s="15" t="s">
        <v>420</v>
      </c>
      <c r="D418" s="12"/>
      <c r="E418" s="56">
        <v>29644</v>
      </c>
      <c r="F418" s="54"/>
      <c r="G418" s="54"/>
      <c r="H418" s="54"/>
    </row>
    <row r="419" spans="1:8" s="55" customFormat="1" ht="47.25" customHeight="1" x14ac:dyDescent="0.25">
      <c r="A419" s="354">
        <v>1</v>
      </c>
      <c r="B419" s="131" t="e">
        <f t="shared" si="15"/>
        <v>#REF!</v>
      </c>
      <c r="C419" s="58" t="s">
        <v>333</v>
      </c>
      <c r="D419" s="12"/>
      <c r="E419" s="512">
        <f>SUM(E420,E427)</f>
        <v>36648</v>
      </c>
      <c r="F419" s="54"/>
      <c r="G419" s="54"/>
      <c r="H419" s="54"/>
    </row>
    <row r="420" spans="1:8" s="55" customFormat="1" ht="15.75" customHeight="1" x14ac:dyDescent="0.25">
      <c r="A420" s="354">
        <v>1</v>
      </c>
      <c r="B420" s="131" t="e">
        <f t="shared" si="15"/>
        <v>#REF!</v>
      </c>
      <c r="C420" s="16" t="s">
        <v>193</v>
      </c>
      <c r="D420" s="12"/>
      <c r="E420" s="56">
        <f>SUM(E421:E426)-E424</f>
        <v>30371</v>
      </c>
      <c r="F420" s="54"/>
      <c r="G420" s="54"/>
      <c r="H420" s="54"/>
    </row>
    <row r="421" spans="1:8" s="55" customFormat="1" ht="34.5" customHeight="1" x14ac:dyDescent="0.25">
      <c r="A421" s="354">
        <v>1</v>
      </c>
      <c r="B421" s="131" t="e">
        <f t="shared" si="15"/>
        <v>#REF!</v>
      </c>
      <c r="C421" s="15" t="s">
        <v>334</v>
      </c>
      <c r="D421" s="12"/>
      <c r="E421" s="56">
        <v>23868</v>
      </c>
      <c r="F421" s="54"/>
      <c r="G421" s="54"/>
      <c r="H421" s="54"/>
    </row>
    <row r="422" spans="1:8" s="55" customFormat="1" ht="45" customHeight="1" x14ac:dyDescent="0.25">
      <c r="A422" s="354">
        <v>1</v>
      </c>
      <c r="B422" s="131" t="e">
        <f t="shared" si="15"/>
        <v>#REF!</v>
      </c>
      <c r="C422" s="15" t="s">
        <v>335</v>
      </c>
      <c r="D422" s="12"/>
      <c r="E422" s="56"/>
      <c r="F422" s="54"/>
      <c r="G422" s="54"/>
      <c r="H422" s="54"/>
    </row>
    <row r="423" spans="1:8" s="55" customFormat="1" ht="30" customHeight="1" x14ac:dyDescent="0.25">
      <c r="A423" s="354">
        <v>1</v>
      </c>
      <c r="B423" s="131" t="e">
        <f t="shared" si="15"/>
        <v>#REF!</v>
      </c>
      <c r="C423" s="15" t="s">
        <v>380</v>
      </c>
      <c r="D423" s="12"/>
      <c r="E423" s="56">
        <v>6503</v>
      </c>
      <c r="F423" s="54"/>
      <c r="G423" s="54"/>
      <c r="H423" s="54"/>
    </row>
    <row r="424" spans="1:8" s="55" customFormat="1" ht="30" customHeight="1" x14ac:dyDescent="0.25">
      <c r="A424" s="354">
        <v>1</v>
      </c>
      <c r="B424" s="131" t="e">
        <f t="shared" si="15"/>
        <v>#REF!</v>
      </c>
      <c r="C424" s="15" t="s">
        <v>381</v>
      </c>
      <c r="D424" s="12"/>
      <c r="E424" s="56"/>
      <c r="F424" s="54"/>
      <c r="G424" s="54"/>
      <c r="H424" s="54"/>
    </row>
    <row r="425" spans="1:8" s="55" customFormat="1" ht="30" customHeight="1" x14ac:dyDescent="0.25">
      <c r="A425" s="354">
        <v>1</v>
      </c>
      <c r="B425" s="131" t="e">
        <f t="shared" si="15"/>
        <v>#REF!</v>
      </c>
      <c r="C425" s="15" t="s">
        <v>382</v>
      </c>
      <c r="D425" s="12"/>
      <c r="E425" s="56"/>
      <c r="F425" s="54"/>
      <c r="G425" s="54"/>
      <c r="H425" s="54"/>
    </row>
    <row r="426" spans="1:8" s="55" customFormat="1" ht="30" customHeight="1" x14ac:dyDescent="0.25">
      <c r="A426" s="354">
        <v>1</v>
      </c>
      <c r="B426" s="131" t="e">
        <f t="shared" si="15"/>
        <v>#REF!</v>
      </c>
      <c r="C426" s="15" t="s">
        <v>383</v>
      </c>
      <c r="D426" s="12"/>
      <c r="E426" s="56"/>
      <c r="F426" s="54"/>
      <c r="G426" s="54"/>
      <c r="H426" s="54"/>
    </row>
    <row r="427" spans="1:8" s="55" customFormat="1" ht="30" customHeight="1" x14ac:dyDescent="0.25">
      <c r="A427" s="354">
        <v>1</v>
      </c>
      <c r="B427" s="131" t="e">
        <f t="shared" si="15"/>
        <v>#REF!</v>
      </c>
      <c r="C427" s="16" t="s">
        <v>194</v>
      </c>
      <c r="D427" s="12"/>
      <c r="E427" s="512">
        <f>E428+E429+E430</f>
        <v>6277</v>
      </c>
      <c r="F427" s="54"/>
      <c r="G427" s="54"/>
      <c r="H427" s="54"/>
    </row>
    <row r="428" spans="1:8" s="55" customFormat="1" ht="30" customHeight="1" x14ac:dyDescent="0.25">
      <c r="A428" s="354">
        <v>1</v>
      </c>
      <c r="B428" s="131" t="e">
        <f t="shared" si="15"/>
        <v>#REF!</v>
      </c>
      <c r="C428" s="15" t="s">
        <v>384</v>
      </c>
      <c r="D428" s="12"/>
      <c r="E428" s="56">
        <v>6277</v>
      </c>
      <c r="F428" s="54"/>
      <c r="G428" s="54"/>
      <c r="H428" s="54"/>
    </row>
    <row r="429" spans="1:8" s="55" customFormat="1" ht="45" customHeight="1" x14ac:dyDescent="0.25">
      <c r="A429" s="354">
        <v>1</v>
      </c>
      <c r="B429" s="131" t="e">
        <f t="shared" si="15"/>
        <v>#REF!</v>
      </c>
      <c r="C429" s="15" t="s">
        <v>385</v>
      </c>
      <c r="D429" s="12"/>
      <c r="E429" s="512"/>
      <c r="F429" s="54"/>
      <c r="G429" s="54"/>
      <c r="H429" s="54"/>
    </row>
    <row r="430" spans="1:8" s="55" customFormat="1" ht="45" customHeight="1" x14ac:dyDescent="0.25">
      <c r="A430" s="354">
        <v>1</v>
      </c>
      <c r="B430" s="131" t="e">
        <f t="shared" si="15"/>
        <v>#REF!</v>
      </c>
      <c r="C430" s="15" t="s">
        <v>386</v>
      </c>
      <c r="D430" s="12"/>
      <c r="E430" s="512"/>
      <c r="F430" s="54"/>
      <c r="G430" s="54"/>
      <c r="H430" s="54"/>
    </row>
    <row r="431" spans="1:8" s="55" customFormat="1" ht="15.75" customHeight="1" x14ac:dyDescent="0.25">
      <c r="A431" s="354">
        <v>1</v>
      </c>
      <c r="B431" s="131" t="e">
        <f t="shared" si="15"/>
        <v>#REF!</v>
      </c>
      <c r="C431" s="14" t="s">
        <v>251</v>
      </c>
      <c r="D431" s="12"/>
      <c r="E431" s="512">
        <f>E432+E433+E437+E438+E439+E440+E441*5</f>
        <v>8661</v>
      </c>
      <c r="F431" s="54"/>
      <c r="G431" s="54"/>
      <c r="H431" s="54"/>
    </row>
    <row r="432" spans="1:8" s="55" customFormat="1" ht="15.75" customHeight="1" x14ac:dyDescent="0.25">
      <c r="A432" s="354">
        <v>1</v>
      </c>
      <c r="B432" s="131" t="e">
        <f t="shared" si="15"/>
        <v>#REF!</v>
      </c>
      <c r="C432" s="15" t="s">
        <v>252</v>
      </c>
      <c r="D432" s="12"/>
      <c r="E432" s="512"/>
      <c r="F432" s="54"/>
      <c r="G432" s="54"/>
      <c r="H432" s="54"/>
    </row>
    <row r="433" spans="1:8" s="55" customFormat="1" ht="30" customHeight="1" x14ac:dyDescent="0.25">
      <c r="A433" s="354">
        <v>1</v>
      </c>
      <c r="B433" s="131" t="e">
        <f t="shared" si="15"/>
        <v>#REF!</v>
      </c>
      <c r="C433" s="16" t="s">
        <v>388</v>
      </c>
      <c r="D433" s="12"/>
      <c r="E433" s="512"/>
      <c r="F433" s="54"/>
      <c r="G433" s="54"/>
      <c r="H433" s="54"/>
    </row>
    <row r="434" spans="1:8" s="145" customFormat="1" ht="15.75" customHeight="1" x14ac:dyDescent="0.25">
      <c r="A434" s="354">
        <v>1</v>
      </c>
      <c r="B434" s="131" t="e">
        <f t="shared" si="15"/>
        <v>#REF!</v>
      </c>
      <c r="C434" s="15" t="s">
        <v>389</v>
      </c>
      <c r="D434" s="13"/>
      <c r="E434" s="17"/>
      <c r="F434" s="10"/>
      <c r="G434" s="10"/>
      <c r="H434" s="10"/>
    </row>
    <row r="435" spans="1:8" s="55" customFormat="1" ht="30" customHeight="1" x14ac:dyDescent="0.25">
      <c r="A435" s="354">
        <v>1</v>
      </c>
      <c r="B435" s="131" t="e">
        <f t="shared" si="15"/>
        <v>#REF!</v>
      </c>
      <c r="C435" s="15" t="s">
        <v>390</v>
      </c>
      <c r="D435" s="12"/>
      <c r="E435" s="512"/>
      <c r="F435" s="54"/>
      <c r="G435" s="54"/>
      <c r="H435" s="54"/>
    </row>
    <row r="436" spans="1:8" s="55" customFormat="1" ht="45" customHeight="1" x14ac:dyDescent="0.25">
      <c r="A436" s="354">
        <v>1</v>
      </c>
      <c r="B436" s="131" t="e">
        <f t="shared" si="15"/>
        <v>#REF!</v>
      </c>
      <c r="C436" s="15" t="s">
        <v>391</v>
      </c>
      <c r="D436" s="12"/>
      <c r="E436" s="512"/>
      <c r="F436" s="54"/>
      <c r="G436" s="54"/>
      <c r="H436" s="54"/>
    </row>
    <row r="437" spans="1:8" s="55" customFormat="1" ht="45" customHeight="1" x14ac:dyDescent="0.25">
      <c r="A437" s="354">
        <v>1</v>
      </c>
      <c r="B437" s="131" t="e">
        <f t="shared" si="15"/>
        <v>#REF!</v>
      </c>
      <c r="C437" s="15" t="s">
        <v>392</v>
      </c>
      <c r="D437" s="12"/>
      <c r="E437" s="512"/>
      <c r="F437" s="54"/>
      <c r="G437" s="54"/>
      <c r="H437" s="54"/>
    </row>
    <row r="438" spans="1:8" s="55" customFormat="1" ht="45" customHeight="1" x14ac:dyDescent="0.25">
      <c r="A438" s="354">
        <v>1</v>
      </c>
      <c r="B438" s="131" t="e">
        <f t="shared" si="15"/>
        <v>#REF!</v>
      </c>
      <c r="C438" s="18" t="s">
        <v>393</v>
      </c>
      <c r="D438" s="12"/>
      <c r="E438" s="512"/>
      <c r="F438" s="54"/>
      <c r="G438" s="54"/>
      <c r="H438" s="54"/>
    </row>
    <row r="439" spans="1:8" s="55" customFormat="1" ht="75" customHeight="1" x14ac:dyDescent="0.25">
      <c r="A439" s="354">
        <v>1</v>
      </c>
      <c r="B439" s="131" t="e">
        <f t="shared" si="15"/>
        <v>#REF!</v>
      </c>
      <c r="C439" s="18" t="s">
        <v>394</v>
      </c>
      <c r="D439" s="13"/>
      <c r="E439" s="53">
        <v>1400</v>
      </c>
      <c r="F439" s="62"/>
      <c r="G439" s="62"/>
      <c r="H439" s="43"/>
    </row>
    <row r="440" spans="1:8" s="55" customFormat="1" ht="30" customHeight="1" x14ac:dyDescent="0.25">
      <c r="A440" s="354">
        <v>1</v>
      </c>
      <c r="B440" s="131" t="e">
        <f t="shared" si="15"/>
        <v>#REF!</v>
      </c>
      <c r="C440" s="15" t="s">
        <v>395</v>
      </c>
      <c r="D440" s="13"/>
      <c r="E440" s="53">
        <v>7161</v>
      </c>
      <c r="F440" s="62"/>
      <c r="G440" s="62"/>
      <c r="H440" s="43"/>
    </row>
    <row r="441" spans="1:8" s="55" customFormat="1" ht="30" customHeight="1" x14ac:dyDescent="0.25">
      <c r="A441" s="354"/>
      <c r="B441" s="131"/>
      <c r="C441" s="617" t="s">
        <v>422</v>
      </c>
      <c r="D441" s="13"/>
      <c r="E441" s="508">
        <f>E442+E443</f>
        <v>20</v>
      </c>
      <c r="F441" s="62"/>
      <c r="G441" s="62"/>
      <c r="H441" s="43"/>
    </row>
    <row r="442" spans="1:8" s="55" customFormat="1" ht="22.5" customHeight="1" x14ac:dyDescent="0.25">
      <c r="A442" s="354"/>
      <c r="B442" s="131"/>
      <c r="C442" s="18" t="s">
        <v>423</v>
      </c>
      <c r="D442" s="13"/>
      <c r="E442" s="53">
        <v>5</v>
      </c>
      <c r="F442" s="62"/>
      <c r="G442" s="62"/>
      <c r="H442" s="43"/>
    </row>
    <row r="443" spans="1:8" s="55" customFormat="1" ht="20.25" customHeight="1" x14ac:dyDescent="0.25">
      <c r="A443" s="354"/>
      <c r="B443" s="131"/>
      <c r="C443" s="18" t="s">
        <v>424</v>
      </c>
      <c r="D443" s="13"/>
      <c r="E443" s="53">
        <v>15</v>
      </c>
      <c r="F443" s="62"/>
      <c r="G443" s="62"/>
      <c r="H443" s="43"/>
    </row>
    <row r="444" spans="1:8" s="55" customFormat="1" ht="15.75" customHeight="1" x14ac:dyDescent="0.25">
      <c r="A444" s="354">
        <v>1</v>
      </c>
      <c r="B444" s="131" t="e">
        <f>B440+1</f>
        <v>#REF!</v>
      </c>
      <c r="C444" s="14" t="s">
        <v>253</v>
      </c>
      <c r="D444" s="59"/>
      <c r="E444" s="60"/>
      <c r="F444" s="54"/>
      <c r="G444" s="54"/>
      <c r="H444" s="54"/>
    </row>
    <row r="445" spans="1:8" s="55" customFormat="1" ht="15.75" customHeight="1" x14ac:dyDescent="0.25">
      <c r="A445" s="354">
        <v>1</v>
      </c>
      <c r="B445" s="131" t="e">
        <f t="shared" si="15"/>
        <v>#REF!</v>
      </c>
      <c r="C445" s="14" t="s">
        <v>254</v>
      </c>
      <c r="D445" s="24"/>
      <c r="E445" s="53"/>
      <c r="F445" s="24"/>
      <c r="G445" s="24"/>
      <c r="H445" s="24"/>
    </row>
    <row r="446" spans="1:8" s="55" customFormat="1" ht="15.75" customHeight="1" x14ac:dyDescent="0.25">
      <c r="A446" s="354">
        <v>1</v>
      </c>
      <c r="B446" s="131" t="e">
        <f t="shared" si="15"/>
        <v>#REF!</v>
      </c>
      <c r="C446" s="15" t="s">
        <v>255</v>
      </c>
      <c r="D446" s="59"/>
      <c r="E446" s="60"/>
      <c r="F446" s="54"/>
      <c r="G446" s="54"/>
      <c r="H446" s="54"/>
    </row>
    <row r="447" spans="1:8" s="55" customFormat="1" ht="15.75" customHeight="1" x14ac:dyDescent="0.25">
      <c r="A447" s="354">
        <v>1</v>
      </c>
      <c r="B447" s="131" t="e">
        <f t="shared" si="15"/>
        <v>#REF!</v>
      </c>
      <c r="C447" s="42" t="s">
        <v>261</v>
      </c>
      <c r="D447" s="59"/>
      <c r="E447" s="68"/>
      <c r="F447" s="54"/>
      <c r="G447" s="54"/>
      <c r="H447" s="54"/>
    </row>
    <row r="448" spans="1:8" s="55" customFormat="1" ht="29.25" customHeight="1" x14ac:dyDescent="0.25">
      <c r="A448" s="354">
        <v>1</v>
      </c>
      <c r="B448" s="131" t="e">
        <f t="shared" si="15"/>
        <v>#REF!</v>
      </c>
      <c r="C448" s="14" t="s">
        <v>256</v>
      </c>
      <c r="D448" s="59"/>
      <c r="E448" s="53">
        <v>15000</v>
      </c>
      <c r="F448" s="54"/>
      <c r="G448" s="54"/>
      <c r="H448" s="54"/>
    </row>
    <row r="449" spans="1:8" s="55" customFormat="1" ht="15.75" customHeight="1" x14ac:dyDescent="0.25">
      <c r="A449" s="354">
        <v>1</v>
      </c>
      <c r="B449" s="131" t="e">
        <f t="shared" si="15"/>
        <v>#REF!</v>
      </c>
      <c r="C449" s="19" t="s">
        <v>117</v>
      </c>
      <c r="D449" s="59"/>
      <c r="E449" s="53"/>
      <c r="F449" s="54"/>
      <c r="G449" s="54"/>
      <c r="H449" s="54"/>
    </row>
    <row r="450" spans="1:8" s="55" customFormat="1" ht="15.75" customHeight="1" x14ac:dyDescent="0.25">
      <c r="A450" s="354">
        <v>1</v>
      </c>
      <c r="B450" s="131" t="e">
        <f t="shared" si="15"/>
        <v>#REF!</v>
      </c>
      <c r="C450" s="20" t="s">
        <v>165</v>
      </c>
      <c r="D450" s="59"/>
      <c r="E450" s="559">
        <f>SUM(E451:E456)</f>
        <v>14240</v>
      </c>
      <c r="F450" s="54"/>
      <c r="G450" s="54"/>
      <c r="H450" s="54"/>
    </row>
    <row r="451" spans="1:8" s="55" customFormat="1" ht="30" customHeight="1" x14ac:dyDescent="0.25">
      <c r="A451" s="354">
        <v>1</v>
      </c>
      <c r="B451" s="131" t="e">
        <f t="shared" si="15"/>
        <v>#REF!</v>
      </c>
      <c r="C451" s="545" t="s">
        <v>205</v>
      </c>
      <c r="D451" s="59"/>
      <c r="E451" s="502">
        <v>2000</v>
      </c>
      <c r="F451" s="54"/>
      <c r="G451" s="54"/>
      <c r="H451" s="54"/>
    </row>
    <row r="452" spans="1:8" s="55" customFormat="1" ht="30" customHeight="1" x14ac:dyDescent="0.25">
      <c r="A452" s="354">
        <v>1</v>
      </c>
      <c r="B452" s="131" t="e">
        <f t="shared" si="15"/>
        <v>#REF!</v>
      </c>
      <c r="C452" s="545" t="s">
        <v>204</v>
      </c>
      <c r="D452" s="59"/>
      <c r="E452" s="502">
        <v>2000</v>
      </c>
      <c r="F452" s="54"/>
      <c r="G452" s="54"/>
      <c r="H452" s="54"/>
    </row>
    <row r="453" spans="1:8" ht="45" customHeight="1" x14ac:dyDescent="0.25">
      <c r="A453" s="354">
        <v>1</v>
      </c>
      <c r="B453" s="131" t="e">
        <f t="shared" si="15"/>
        <v>#REF!</v>
      </c>
      <c r="C453" s="545" t="s">
        <v>242</v>
      </c>
      <c r="D453" s="13"/>
      <c r="E453" s="53">
        <v>6250</v>
      </c>
      <c r="F453" s="2"/>
      <c r="G453" s="2"/>
      <c r="H453" s="2"/>
    </row>
    <row r="454" spans="1:8" ht="15.75" customHeight="1" x14ac:dyDescent="0.25">
      <c r="A454" s="354">
        <v>1</v>
      </c>
      <c r="B454" s="131" t="e">
        <f t="shared" si="15"/>
        <v>#REF!</v>
      </c>
      <c r="C454" s="545" t="s">
        <v>17</v>
      </c>
      <c r="D454" s="13"/>
      <c r="E454" s="53">
        <v>1890</v>
      </c>
      <c r="F454" s="2"/>
      <c r="G454" s="2"/>
      <c r="H454" s="2"/>
    </row>
    <row r="455" spans="1:8" ht="30" customHeight="1" x14ac:dyDescent="0.25">
      <c r="A455" s="354">
        <v>1</v>
      </c>
      <c r="B455" s="131" t="e">
        <f t="shared" si="15"/>
        <v>#REF!</v>
      </c>
      <c r="C455" s="545" t="s">
        <v>139</v>
      </c>
      <c r="D455" s="13"/>
      <c r="E455" s="53">
        <v>900</v>
      </c>
      <c r="F455" s="2"/>
      <c r="G455" s="2"/>
      <c r="H455" s="2"/>
    </row>
    <row r="456" spans="1:8" s="55" customFormat="1" ht="15.75" customHeight="1" x14ac:dyDescent="0.25">
      <c r="A456" s="354">
        <v>1</v>
      </c>
      <c r="B456" s="131" t="e">
        <f t="shared" si="15"/>
        <v>#REF!</v>
      </c>
      <c r="C456" s="545" t="s">
        <v>119</v>
      </c>
      <c r="D456" s="59"/>
      <c r="E456" s="502">
        <v>1200</v>
      </c>
      <c r="F456" s="54"/>
      <c r="G456" s="54"/>
      <c r="H456" s="54"/>
    </row>
    <row r="457" spans="1:8" s="55" customFormat="1" ht="43.5" customHeight="1" x14ac:dyDescent="0.25">
      <c r="A457" s="354">
        <v>1</v>
      </c>
      <c r="B457" s="131" t="e">
        <f t="shared" si="15"/>
        <v>#REF!</v>
      </c>
      <c r="C457" s="21" t="s">
        <v>396</v>
      </c>
      <c r="D457" s="59"/>
      <c r="E457" s="559">
        <f>E418</f>
        <v>29644</v>
      </c>
      <c r="F457" s="54"/>
      <c r="G457" s="54"/>
      <c r="H457" s="54"/>
    </row>
    <row r="458" spans="1:8" s="55" customFormat="1" ht="15.75" customHeight="1" x14ac:dyDescent="0.25">
      <c r="A458" s="354">
        <v>1</v>
      </c>
      <c r="B458" s="131" t="e">
        <f t="shared" si="15"/>
        <v>#REF!</v>
      </c>
      <c r="C458" s="21" t="s">
        <v>195</v>
      </c>
      <c r="D458" s="59"/>
      <c r="E458" s="559">
        <f>E431+E407</f>
        <v>63461</v>
      </c>
      <c r="F458" s="54"/>
      <c r="G458" s="54"/>
      <c r="H458" s="54"/>
    </row>
    <row r="459" spans="1:8" s="55" customFormat="1" ht="29.25" customHeight="1" x14ac:dyDescent="0.25">
      <c r="A459" s="354">
        <v>1</v>
      </c>
      <c r="B459" s="131" t="e">
        <f t="shared" si="15"/>
        <v>#REF!</v>
      </c>
      <c r="C459" s="21" t="s">
        <v>196</v>
      </c>
      <c r="D459" s="59"/>
      <c r="E459" s="559">
        <f>E419</f>
        <v>36648</v>
      </c>
      <c r="F459" s="54"/>
      <c r="G459" s="54"/>
      <c r="H459" s="54"/>
    </row>
    <row r="460" spans="1:8" s="55" customFormat="1" ht="15.75" customHeight="1" x14ac:dyDescent="0.25">
      <c r="A460" s="354">
        <v>1</v>
      </c>
      <c r="B460" s="131" t="e">
        <f t="shared" si="15"/>
        <v>#REF!</v>
      </c>
      <c r="C460" s="21" t="s">
        <v>197</v>
      </c>
      <c r="D460" s="59"/>
      <c r="E460" s="559">
        <f>E413</f>
        <v>63353</v>
      </c>
      <c r="F460" s="54"/>
      <c r="G460" s="54"/>
      <c r="H460" s="54"/>
    </row>
    <row r="461" spans="1:8" s="55" customFormat="1" ht="29.25" customHeight="1" x14ac:dyDescent="0.25">
      <c r="A461" s="354">
        <v>1</v>
      </c>
      <c r="B461" s="131" t="e">
        <f t="shared" si="15"/>
        <v>#REF!</v>
      </c>
      <c r="C461" s="21" t="s">
        <v>198</v>
      </c>
      <c r="D461" s="59"/>
      <c r="E461" s="559">
        <f>E448</f>
        <v>15000</v>
      </c>
      <c r="F461" s="54"/>
      <c r="G461" s="54"/>
      <c r="H461" s="54"/>
    </row>
    <row r="462" spans="1:8" s="55" customFormat="1" ht="15.75" customHeight="1" x14ac:dyDescent="0.25">
      <c r="A462" s="354">
        <v>1</v>
      </c>
      <c r="B462" s="131" t="e">
        <f t="shared" si="15"/>
        <v>#REF!</v>
      </c>
      <c r="C462" s="22" t="s">
        <v>112</v>
      </c>
      <c r="D462" s="13"/>
      <c r="E462" s="508">
        <f>E458+E459+E461+E460*2.6+E457*2.6</f>
        <v>356901.20000000007</v>
      </c>
      <c r="F462" s="62"/>
      <c r="G462" s="62"/>
      <c r="H462" s="43"/>
    </row>
    <row r="463" spans="1:8" ht="15.75" customHeight="1" x14ac:dyDescent="0.25">
      <c r="A463" s="354">
        <v>1</v>
      </c>
      <c r="B463" s="131" t="e">
        <f t="shared" si="15"/>
        <v>#REF!</v>
      </c>
      <c r="C463" s="44" t="s">
        <v>7</v>
      </c>
      <c r="D463" s="13"/>
      <c r="E463" s="53"/>
      <c r="F463" s="2"/>
      <c r="G463" s="2"/>
      <c r="H463" s="2"/>
    </row>
    <row r="464" spans="1:8" ht="15.75" customHeight="1" x14ac:dyDescent="0.25">
      <c r="A464" s="354">
        <v>1</v>
      </c>
      <c r="B464" s="131" t="e">
        <f t="shared" si="15"/>
        <v>#REF!</v>
      </c>
      <c r="C464" s="44" t="s">
        <v>71</v>
      </c>
      <c r="D464" s="13"/>
      <c r="E464" s="53"/>
      <c r="F464" s="2"/>
      <c r="G464" s="2"/>
      <c r="H464" s="2"/>
    </row>
    <row r="465" spans="1:8" ht="15.75" customHeight="1" x14ac:dyDescent="0.25">
      <c r="A465" s="354">
        <v>1</v>
      </c>
      <c r="B465" s="131" t="e">
        <f t="shared" si="15"/>
        <v>#REF!</v>
      </c>
      <c r="C465" s="539" t="s">
        <v>86</v>
      </c>
      <c r="D465" s="52">
        <v>240</v>
      </c>
      <c r="E465" s="53">
        <v>1160</v>
      </c>
      <c r="F465" s="47">
        <v>3</v>
      </c>
      <c r="G465" s="2">
        <f t="shared" ref="G465:G468" si="16">ROUND(H465/D465,0)</f>
        <v>15</v>
      </c>
      <c r="H465" s="2">
        <f>ROUND(E465*F465,0)</f>
        <v>3480</v>
      </c>
    </row>
    <row r="466" spans="1:8" ht="15.75" customHeight="1" x14ac:dyDescent="0.25">
      <c r="A466" s="354">
        <v>1</v>
      </c>
      <c r="B466" s="131" t="e">
        <f t="shared" si="15"/>
        <v>#REF!</v>
      </c>
      <c r="C466" s="539" t="s">
        <v>8</v>
      </c>
      <c r="D466" s="52">
        <v>240</v>
      </c>
      <c r="E466" s="53">
        <v>30</v>
      </c>
      <c r="F466" s="47">
        <v>4</v>
      </c>
      <c r="G466" s="2">
        <f t="shared" si="16"/>
        <v>1</v>
      </c>
      <c r="H466" s="2">
        <f>ROUND(E466*F466,0)</f>
        <v>120</v>
      </c>
    </row>
    <row r="467" spans="1:8" ht="15.75" customHeight="1" x14ac:dyDescent="0.25">
      <c r="A467" s="354">
        <v>1</v>
      </c>
      <c r="B467" s="131" t="e">
        <f t="shared" si="15"/>
        <v>#REF!</v>
      </c>
      <c r="C467" s="539" t="s">
        <v>35</v>
      </c>
      <c r="D467" s="73">
        <v>240</v>
      </c>
      <c r="E467" s="53">
        <v>2645</v>
      </c>
      <c r="F467" s="538">
        <v>8</v>
      </c>
      <c r="G467" s="2">
        <f t="shared" si="16"/>
        <v>88</v>
      </c>
      <c r="H467" s="2">
        <f>ROUND(E467*F467,0)</f>
        <v>21160</v>
      </c>
    </row>
    <row r="468" spans="1:8" ht="15.75" customHeight="1" x14ac:dyDescent="0.25">
      <c r="A468" s="354">
        <v>1</v>
      </c>
      <c r="B468" s="131" t="e">
        <f t="shared" si="15"/>
        <v>#REF!</v>
      </c>
      <c r="C468" s="539" t="s">
        <v>10</v>
      </c>
      <c r="D468" s="73">
        <v>240</v>
      </c>
      <c r="E468" s="53">
        <v>840</v>
      </c>
      <c r="F468" s="538">
        <v>4</v>
      </c>
      <c r="G468" s="2">
        <f t="shared" si="16"/>
        <v>14</v>
      </c>
      <c r="H468" s="2">
        <f>ROUND(E468*F468,0)</f>
        <v>3360</v>
      </c>
    </row>
    <row r="469" spans="1:8" ht="15.75" customHeight="1" x14ac:dyDescent="0.25">
      <c r="A469" s="354">
        <v>1</v>
      </c>
      <c r="B469" s="131" t="e">
        <f t="shared" si="15"/>
        <v>#REF!</v>
      </c>
      <c r="C469" s="547" t="s">
        <v>94</v>
      </c>
      <c r="D469" s="73"/>
      <c r="E469" s="506">
        <f>SUM(E465:E468)</f>
        <v>4675</v>
      </c>
      <c r="F469" s="158">
        <f>H469/E469</f>
        <v>6.0149732620320853</v>
      </c>
      <c r="G469" s="31">
        <f>SUM(G465:G468)</f>
        <v>118</v>
      </c>
      <c r="H469" s="31">
        <f>SUM(H465:H468)</f>
        <v>28120</v>
      </c>
    </row>
    <row r="470" spans="1:8" ht="15.75" customHeight="1" x14ac:dyDescent="0.25">
      <c r="A470" s="354">
        <v>1</v>
      </c>
      <c r="B470" s="131" t="e">
        <f t="shared" si="15"/>
        <v>#REF!</v>
      </c>
      <c r="C470" s="298" t="s">
        <v>88</v>
      </c>
      <c r="D470" s="531"/>
      <c r="E470" s="518">
        <f>E469</f>
        <v>4675</v>
      </c>
      <c r="F470" s="158">
        <f>H470/E470</f>
        <v>6.0149732620320853</v>
      </c>
      <c r="G470" s="289">
        <f>G469</f>
        <v>118</v>
      </c>
      <c r="H470" s="289">
        <f>H469</f>
        <v>28120</v>
      </c>
    </row>
    <row r="471" spans="1:8" s="51" customFormat="1" ht="16.5" customHeight="1" x14ac:dyDescent="0.25">
      <c r="A471" s="354">
        <v>1</v>
      </c>
      <c r="B471" s="131" t="e">
        <f t="shared" ref="B471:B537" si="17">B470+1</f>
        <v>#REF!</v>
      </c>
      <c r="C471" s="532" t="s">
        <v>213</v>
      </c>
      <c r="D471" s="510"/>
      <c r="E471" s="511"/>
      <c r="F471" s="510"/>
      <c r="G471" s="510"/>
      <c r="H471" s="510"/>
    </row>
    <row r="472" spans="1:8" ht="15.75" hidden="1" customHeight="1" x14ac:dyDescent="0.25">
      <c r="A472" s="354">
        <v>1</v>
      </c>
      <c r="B472" s="131" t="e">
        <f t="shared" si="17"/>
        <v>#REF!</v>
      </c>
      <c r="C472" s="535"/>
      <c r="D472" s="365"/>
      <c r="E472" s="493"/>
      <c r="F472" s="494"/>
      <c r="G472" s="494"/>
      <c r="H472" s="494"/>
    </row>
    <row r="473" spans="1:8" ht="29.25" hidden="1" customHeight="1" x14ac:dyDescent="0.25">
      <c r="A473" s="354">
        <v>1</v>
      </c>
      <c r="B473" s="131" t="e">
        <f t="shared" si="17"/>
        <v>#REF!</v>
      </c>
      <c r="C473" s="686" t="s">
        <v>355</v>
      </c>
      <c r="D473" s="63"/>
      <c r="E473" s="53"/>
      <c r="F473" s="2"/>
      <c r="G473" s="2"/>
      <c r="H473" s="2"/>
    </row>
    <row r="474" spans="1:8" s="55" customFormat="1" ht="46.5" hidden="1" customHeight="1" x14ac:dyDescent="0.25">
      <c r="A474" s="354">
        <v>1</v>
      </c>
      <c r="B474" s="131" t="e">
        <f t="shared" si="17"/>
        <v>#REF!</v>
      </c>
      <c r="C474" s="128" t="s">
        <v>250</v>
      </c>
      <c r="D474" s="12"/>
      <c r="E474" s="512"/>
      <c r="F474" s="54"/>
      <c r="G474" s="54"/>
      <c r="H474" s="54"/>
    </row>
    <row r="475" spans="1:8" s="55" customFormat="1" ht="15.75" hidden="1" customHeight="1" x14ac:dyDescent="0.25">
      <c r="A475" s="354">
        <v>1</v>
      </c>
      <c r="B475" s="131" t="e">
        <f t="shared" si="17"/>
        <v>#REF!</v>
      </c>
      <c r="C475" s="14" t="s">
        <v>192</v>
      </c>
      <c r="D475" s="12"/>
      <c r="E475" s="512">
        <f>E477+E479+E480</f>
        <v>15495</v>
      </c>
      <c r="F475" s="54"/>
      <c r="G475" s="54"/>
      <c r="H475" s="54"/>
    </row>
    <row r="476" spans="1:8" s="55" customFormat="1" ht="15.75" hidden="1" customHeight="1" x14ac:dyDescent="0.25">
      <c r="A476" s="354">
        <v>1</v>
      </c>
      <c r="B476" s="131" t="e">
        <f t="shared" si="17"/>
        <v>#REF!</v>
      </c>
      <c r="C476" s="18" t="s">
        <v>116</v>
      </c>
      <c r="D476" s="12"/>
      <c r="E476" s="512"/>
      <c r="F476" s="54"/>
      <c r="G476" s="54"/>
      <c r="H476" s="54"/>
    </row>
    <row r="477" spans="1:8" s="55" customFormat="1" ht="30" hidden="1" customHeight="1" x14ac:dyDescent="0.25">
      <c r="A477" s="354">
        <v>1</v>
      </c>
      <c r="B477" s="131" t="e">
        <f t="shared" si="17"/>
        <v>#REF!</v>
      </c>
      <c r="C477" s="15" t="s">
        <v>397</v>
      </c>
      <c r="D477" s="12"/>
      <c r="E477" s="56">
        <v>7495</v>
      </c>
      <c r="F477" s="54"/>
      <c r="G477" s="54"/>
      <c r="H477" s="54"/>
    </row>
    <row r="478" spans="1:8" s="55" customFormat="1" ht="45" hidden="1" customHeight="1" x14ac:dyDescent="0.25">
      <c r="A478" s="354">
        <v>1</v>
      </c>
      <c r="B478" s="131" t="e">
        <f t="shared" si="17"/>
        <v>#REF!</v>
      </c>
      <c r="C478" s="15" t="s">
        <v>398</v>
      </c>
      <c r="D478" s="12"/>
      <c r="E478" s="512"/>
      <c r="F478" s="54"/>
      <c r="G478" s="54"/>
      <c r="H478" s="54"/>
    </row>
    <row r="479" spans="1:8" s="55" customFormat="1" ht="45" hidden="1" customHeight="1" x14ac:dyDescent="0.25">
      <c r="A479" s="354">
        <v>1</v>
      </c>
      <c r="B479" s="131" t="e">
        <f t="shared" si="17"/>
        <v>#REF!</v>
      </c>
      <c r="C479" s="15" t="s">
        <v>399</v>
      </c>
      <c r="D479" s="12"/>
      <c r="E479" s="56">
        <v>6000</v>
      </c>
      <c r="F479" s="54"/>
      <c r="G479" s="54"/>
      <c r="H479" s="54"/>
    </row>
    <row r="480" spans="1:8" s="55" customFormat="1" ht="75" hidden="1" customHeight="1" x14ac:dyDescent="0.25">
      <c r="A480" s="354">
        <v>1</v>
      </c>
      <c r="B480" s="131" t="e">
        <f t="shared" si="17"/>
        <v>#REF!</v>
      </c>
      <c r="C480" s="15" t="s">
        <v>400</v>
      </c>
      <c r="D480" s="12"/>
      <c r="E480" s="56">
        <v>2000</v>
      </c>
      <c r="F480" s="54"/>
      <c r="G480" s="54"/>
      <c r="H480" s="54"/>
    </row>
    <row r="481" spans="1:8" s="55" customFormat="1" ht="15.75" hidden="1" customHeight="1" x14ac:dyDescent="0.25">
      <c r="A481" s="354">
        <v>1</v>
      </c>
      <c r="B481" s="131" t="e">
        <f t="shared" si="17"/>
        <v>#REF!</v>
      </c>
      <c r="C481" s="57" t="s">
        <v>90</v>
      </c>
      <c r="D481" s="12"/>
      <c r="E481" s="512">
        <f>E482+E484</f>
        <v>45000</v>
      </c>
      <c r="F481" s="54"/>
      <c r="G481" s="54"/>
      <c r="H481" s="54"/>
    </row>
    <row r="482" spans="1:8" s="55" customFormat="1" ht="15.75" hidden="1" customHeight="1" x14ac:dyDescent="0.25">
      <c r="A482" s="354">
        <v>1</v>
      </c>
      <c r="B482" s="131" t="e">
        <f t="shared" si="17"/>
        <v>#REF!</v>
      </c>
      <c r="C482" s="15" t="s">
        <v>145</v>
      </c>
      <c r="D482" s="12"/>
      <c r="E482" s="56">
        <v>42258</v>
      </c>
      <c r="F482" s="54"/>
      <c r="G482" s="54"/>
      <c r="H482" s="54"/>
    </row>
    <row r="483" spans="1:8" s="55" customFormat="1" ht="45" hidden="1" x14ac:dyDescent="0.25">
      <c r="A483" s="354">
        <v>1</v>
      </c>
      <c r="B483" s="131" t="e">
        <f t="shared" si="17"/>
        <v>#REF!</v>
      </c>
      <c r="C483" s="15" t="s">
        <v>414</v>
      </c>
      <c r="D483" s="12"/>
      <c r="E483" s="56"/>
      <c r="F483" s="54"/>
      <c r="G483" s="54"/>
      <c r="H483" s="54"/>
    </row>
    <row r="484" spans="1:8" s="55" customFormat="1" ht="60" hidden="1" x14ac:dyDescent="0.25">
      <c r="A484" s="354"/>
      <c r="B484" s="131"/>
      <c r="C484" s="15" t="s">
        <v>421</v>
      </c>
      <c r="D484" s="12"/>
      <c r="E484" s="56">
        <v>2742</v>
      </c>
      <c r="F484" s="54"/>
      <c r="G484" s="54"/>
      <c r="H484" s="54"/>
    </row>
    <row r="485" spans="1:8" s="55" customFormat="1" ht="15.75" hidden="1" customHeight="1" x14ac:dyDescent="0.25">
      <c r="A485" s="354">
        <v>1</v>
      </c>
      <c r="B485" s="131" t="e">
        <f>B483+1</f>
        <v>#REF!</v>
      </c>
      <c r="C485" s="33" t="s">
        <v>98</v>
      </c>
      <c r="D485" s="12"/>
      <c r="E485" s="56"/>
      <c r="F485" s="54"/>
      <c r="G485" s="54"/>
      <c r="H485" s="54"/>
    </row>
    <row r="486" spans="1:8" s="55" customFormat="1" ht="75.75" hidden="1" customHeight="1" x14ac:dyDescent="0.25">
      <c r="A486" s="354">
        <v>1</v>
      </c>
      <c r="B486" s="131" t="e">
        <f t="shared" si="17"/>
        <v>#REF!</v>
      </c>
      <c r="C486" s="15" t="s">
        <v>420</v>
      </c>
      <c r="D486" s="12"/>
      <c r="E486" s="56">
        <v>13709</v>
      </c>
      <c r="F486" s="54"/>
      <c r="G486" s="54"/>
      <c r="H486" s="54"/>
    </row>
    <row r="487" spans="1:8" s="55" customFormat="1" ht="47.25" hidden="1" customHeight="1" x14ac:dyDescent="0.25">
      <c r="A487" s="354">
        <v>1</v>
      </c>
      <c r="B487" s="131" t="e">
        <f t="shared" si="17"/>
        <v>#REF!</v>
      </c>
      <c r="C487" s="58" t="s">
        <v>333</v>
      </c>
      <c r="D487" s="12"/>
      <c r="E487" s="512">
        <f>E488+E495</f>
        <v>20821</v>
      </c>
      <c r="F487" s="54"/>
      <c r="G487" s="54"/>
      <c r="H487" s="54"/>
    </row>
    <row r="488" spans="1:8" s="55" customFormat="1" ht="18" hidden="1" customHeight="1" x14ac:dyDescent="0.25">
      <c r="A488" s="354">
        <v>1</v>
      </c>
      <c r="B488" s="131" t="e">
        <f t="shared" si="17"/>
        <v>#REF!</v>
      </c>
      <c r="C488" s="16" t="s">
        <v>193</v>
      </c>
      <c r="D488" s="12"/>
      <c r="E488" s="512">
        <f>SUM(E489:E494)-E492</f>
        <v>17285</v>
      </c>
      <c r="F488" s="54"/>
      <c r="G488" s="54"/>
      <c r="H488" s="54"/>
    </row>
    <row r="489" spans="1:8" s="55" customFormat="1" ht="39" hidden="1" customHeight="1" x14ac:dyDescent="0.25">
      <c r="A489" s="354">
        <v>1</v>
      </c>
      <c r="B489" s="131" t="e">
        <f t="shared" si="17"/>
        <v>#REF!</v>
      </c>
      <c r="C489" s="15" t="s">
        <v>334</v>
      </c>
      <c r="D489" s="12"/>
      <c r="E489" s="56">
        <v>13444</v>
      </c>
      <c r="F489" s="54"/>
      <c r="G489" s="54"/>
      <c r="H489" s="54"/>
    </row>
    <row r="490" spans="1:8" s="55" customFormat="1" ht="45" hidden="1" customHeight="1" x14ac:dyDescent="0.25">
      <c r="A490" s="354">
        <v>1</v>
      </c>
      <c r="B490" s="131" t="e">
        <f t="shared" si="17"/>
        <v>#REF!</v>
      </c>
      <c r="C490" s="15" t="s">
        <v>335</v>
      </c>
      <c r="D490" s="59"/>
      <c r="E490" s="60"/>
      <c r="F490" s="54"/>
      <c r="G490" s="54"/>
      <c r="H490" s="54"/>
    </row>
    <row r="491" spans="1:8" s="55" customFormat="1" ht="30" hidden="1" customHeight="1" x14ac:dyDescent="0.25">
      <c r="A491" s="354">
        <v>1</v>
      </c>
      <c r="B491" s="131" t="e">
        <f t="shared" si="17"/>
        <v>#REF!</v>
      </c>
      <c r="C491" s="15" t="s">
        <v>380</v>
      </c>
      <c r="D491" s="59"/>
      <c r="E491" s="60">
        <v>3841</v>
      </c>
      <c r="F491" s="54"/>
      <c r="G491" s="54"/>
      <c r="H491" s="54"/>
    </row>
    <row r="492" spans="1:8" s="55" customFormat="1" ht="30" hidden="1" customHeight="1" x14ac:dyDescent="0.25">
      <c r="A492" s="354">
        <v>1</v>
      </c>
      <c r="B492" s="131" t="e">
        <f t="shared" si="17"/>
        <v>#REF!</v>
      </c>
      <c r="C492" s="15" t="s">
        <v>381</v>
      </c>
      <c r="D492" s="59"/>
      <c r="E492" s="60"/>
      <c r="F492" s="54"/>
      <c r="G492" s="54"/>
      <c r="H492" s="54"/>
    </row>
    <row r="493" spans="1:8" s="55" customFormat="1" ht="30" hidden="1" customHeight="1" x14ac:dyDescent="0.25">
      <c r="A493" s="354">
        <v>1</v>
      </c>
      <c r="B493" s="131" t="e">
        <f t="shared" si="17"/>
        <v>#REF!</v>
      </c>
      <c r="C493" s="15" t="s">
        <v>382</v>
      </c>
      <c r="D493" s="59"/>
      <c r="E493" s="60"/>
      <c r="F493" s="54"/>
      <c r="G493" s="54"/>
      <c r="H493" s="54"/>
    </row>
    <row r="494" spans="1:8" s="55" customFormat="1" ht="30" hidden="1" customHeight="1" x14ac:dyDescent="0.25">
      <c r="A494" s="354">
        <v>1</v>
      </c>
      <c r="B494" s="131" t="e">
        <f t="shared" si="17"/>
        <v>#REF!</v>
      </c>
      <c r="C494" s="15" t="s">
        <v>383</v>
      </c>
      <c r="D494" s="59"/>
      <c r="E494" s="53"/>
      <c r="F494" s="54"/>
      <c r="G494" s="54"/>
      <c r="H494" s="54"/>
    </row>
    <row r="495" spans="1:8" s="55" customFormat="1" ht="30" hidden="1" customHeight="1" x14ac:dyDescent="0.25">
      <c r="A495" s="354">
        <v>1</v>
      </c>
      <c r="B495" s="131" t="e">
        <f t="shared" si="17"/>
        <v>#REF!</v>
      </c>
      <c r="C495" s="16" t="s">
        <v>194</v>
      </c>
      <c r="D495" s="59"/>
      <c r="E495" s="508">
        <f>SUM(E496:E498)</f>
        <v>3536</v>
      </c>
      <c r="F495" s="54"/>
      <c r="G495" s="54"/>
      <c r="H495" s="54"/>
    </row>
    <row r="496" spans="1:8" s="55" customFormat="1" ht="30" hidden="1" customHeight="1" x14ac:dyDescent="0.25">
      <c r="A496" s="354">
        <v>1</v>
      </c>
      <c r="B496" s="131" t="e">
        <f t="shared" si="17"/>
        <v>#REF!</v>
      </c>
      <c r="C496" s="15" t="s">
        <v>384</v>
      </c>
      <c r="D496" s="59"/>
      <c r="E496" s="53">
        <v>3536</v>
      </c>
      <c r="F496" s="54"/>
      <c r="G496" s="54"/>
      <c r="H496" s="54"/>
    </row>
    <row r="497" spans="1:8" s="55" customFormat="1" ht="45" hidden="1" customHeight="1" x14ac:dyDescent="0.25">
      <c r="A497" s="354">
        <v>1</v>
      </c>
      <c r="B497" s="131" t="e">
        <f t="shared" si="17"/>
        <v>#REF!</v>
      </c>
      <c r="C497" s="15" t="s">
        <v>385</v>
      </c>
      <c r="D497" s="59"/>
      <c r="E497" s="502"/>
      <c r="F497" s="54"/>
      <c r="G497" s="54"/>
      <c r="H497" s="54"/>
    </row>
    <row r="498" spans="1:8" ht="45" hidden="1" customHeight="1" x14ac:dyDescent="0.25">
      <c r="A498" s="354">
        <v>1</v>
      </c>
      <c r="B498" s="131" t="e">
        <f t="shared" si="17"/>
        <v>#REF!</v>
      </c>
      <c r="C498" s="15" t="s">
        <v>386</v>
      </c>
      <c r="D498" s="13"/>
      <c r="E498" s="53"/>
      <c r="F498" s="2"/>
      <c r="G498" s="2"/>
      <c r="H498" s="2"/>
    </row>
    <row r="499" spans="1:8" s="55" customFormat="1" ht="15.75" hidden="1" customHeight="1" x14ac:dyDescent="0.25">
      <c r="A499" s="354">
        <v>1</v>
      </c>
      <c r="B499" s="131" t="e">
        <f t="shared" si="17"/>
        <v>#REF!</v>
      </c>
      <c r="C499" s="14" t="s">
        <v>251</v>
      </c>
      <c r="D499" s="277"/>
      <c r="E499" s="508">
        <f>E500+E501+E505+E506+E507+E508+E509*5</f>
        <v>4623</v>
      </c>
      <c r="F499" s="54"/>
      <c r="G499" s="54"/>
      <c r="H499" s="54"/>
    </row>
    <row r="500" spans="1:8" s="55" customFormat="1" ht="15.75" hidden="1" customHeight="1" x14ac:dyDescent="0.25">
      <c r="A500" s="354">
        <v>1</v>
      </c>
      <c r="B500" s="131" t="e">
        <f t="shared" si="17"/>
        <v>#REF!</v>
      </c>
      <c r="C500" s="15" t="s">
        <v>252</v>
      </c>
      <c r="D500" s="61"/>
      <c r="E500" s="513"/>
      <c r="F500" s="62"/>
      <c r="G500" s="62"/>
      <c r="H500" s="43"/>
    </row>
    <row r="501" spans="1:8" s="55" customFormat="1" ht="30" hidden="1" customHeight="1" x14ac:dyDescent="0.25">
      <c r="A501" s="354">
        <v>1</v>
      </c>
      <c r="B501" s="131" t="e">
        <f t="shared" si="17"/>
        <v>#REF!</v>
      </c>
      <c r="C501" s="16" t="s">
        <v>388</v>
      </c>
      <c r="D501" s="13"/>
      <c r="E501" s="53"/>
      <c r="F501" s="62"/>
      <c r="G501" s="62"/>
      <c r="H501" s="43"/>
    </row>
    <row r="502" spans="1:8" s="145" customFormat="1" ht="15.75" hidden="1" customHeight="1" x14ac:dyDescent="0.25">
      <c r="A502" s="354">
        <v>1</v>
      </c>
      <c r="B502" s="131" t="e">
        <f t="shared" si="17"/>
        <v>#REF!</v>
      </c>
      <c r="C502" s="15" t="s">
        <v>389</v>
      </c>
      <c r="D502" s="13"/>
      <c r="E502" s="17"/>
      <c r="F502" s="10"/>
      <c r="G502" s="10"/>
      <c r="H502" s="10"/>
    </row>
    <row r="503" spans="1:8" s="55" customFormat="1" ht="30" hidden="1" customHeight="1" x14ac:dyDescent="0.25">
      <c r="A503" s="354">
        <v>1</v>
      </c>
      <c r="B503" s="131" t="e">
        <f t="shared" si="17"/>
        <v>#REF!</v>
      </c>
      <c r="C503" s="15" t="s">
        <v>390</v>
      </c>
      <c r="D503" s="13"/>
      <c r="E503" s="53"/>
      <c r="F503" s="62"/>
      <c r="G503" s="62"/>
      <c r="H503" s="43"/>
    </row>
    <row r="504" spans="1:8" s="55" customFormat="1" ht="45" hidden="1" customHeight="1" x14ac:dyDescent="0.25">
      <c r="A504" s="354">
        <v>1</v>
      </c>
      <c r="B504" s="131" t="e">
        <f t="shared" si="17"/>
        <v>#REF!</v>
      </c>
      <c r="C504" s="15" t="s">
        <v>391</v>
      </c>
      <c r="D504" s="13"/>
      <c r="E504" s="53"/>
      <c r="F504" s="62"/>
      <c r="G504" s="62"/>
      <c r="H504" s="43"/>
    </row>
    <row r="505" spans="1:8" s="55" customFormat="1" ht="45" hidden="1" customHeight="1" x14ac:dyDescent="0.25">
      <c r="A505" s="354">
        <v>1</v>
      </c>
      <c r="B505" s="131" t="e">
        <f t="shared" si="17"/>
        <v>#REF!</v>
      </c>
      <c r="C505" s="15" t="s">
        <v>392</v>
      </c>
      <c r="D505" s="13"/>
      <c r="E505" s="60"/>
      <c r="F505" s="62"/>
      <c r="G505" s="62"/>
      <c r="H505" s="43"/>
    </row>
    <row r="506" spans="1:8" s="55" customFormat="1" ht="45" hidden="1" customHeight="1" x14ac:dyDescent="0.25">
      <c r="A506" s="354">
        <v>1</v>
      </c>
      <c r="B506" s="131" t="e">
        <f t="shared" si="17"/>
        <v>#REF!</v>
      </c>
      <c r="C506" s="18" t="s">
        <v>393</v>
      </c>
      <c r="D506" s="13"/>
      <c r="E506" s="60"/>
      <c r="F506" s="62"/>
      <c r="G506" s="62"/>
      <c r="H506" s="43"/>
    </row>
    <row r="507" spans="1:8" s="55" customFormat="1" ht="75" hidden="1" customHeight="1" x14ac:dyDescent="0.25">
      <c r="A507" s="354">
        <v>1</v>
      </c>
      <c r="B507" s="131" t="e">
        <f t="shared" si="17"/>
        <v>#REF!</v>
      </c>
      <c r="C507" s="18" t="s">
        <v>394</v>
      </c>
      <c r="D507" s="13"/>
      <c r="E507" s="53">
        <v>500</v>
      </c>
      <c r="F507" s="62"/>
      <c r="G507" s="62"/>
      <c r="H507" s="43"/>
    </row>
    <row r="508" spans="1:8" s="55" customFormat="1" ht="30" hidden="1" customHeight="1" x14ac:dyDescent="0.25">
      <c r="A508" s="354">
        <v>1</v>
      </c>
      <c r="B508" s="131" t="e">
        <f t="shared" si="17"/>
        <v>#REF!</v>
      </c>
      <c r="C508" s="15" t="s">
        <v>395</v>
      </c>
      <c r="D508" s="13"/>
      <c r="E508" s="53">
        <v>4033</v>
      </c>
      <c r="F508" s="62"/>
      <c r="G508" s="62"/>
      <c r="H508" s="43"/>
    </row>
    <row r="509" spans="1:8" s="55" customFormat="1" ht="30" hidden="1" customHeight="1" x14ac:dyDescent="0.25">
      <c r="A509" s="354"/>
      <c r="B509" s="131"/>
      <c r="C509" s="617" t="s">
        <v>422</v>
      </c>
      <c r="D509" s="13"/>
      <c r="E509" s="508">
        <f>E510</f>
        <v>18</v>
      </c>
      <c r="F509" s="62"/>
      <c r="G509" s="62"/>
      <c r="H509" s="43"/>
    </row>
    <row r="510" spans="1:8" s="55" customFormat="1" ht="20.25" hidden="1" customHeight="1" x14ac:dyDescent="0.25">
      <c r="A510" s="354"/>
      <c r="B510" s="131"/>
      <c r="C510" s="18" t="s">
        <v>424</v>
      </c>
      <c r="D510" s="13"/>
      <c r="E510" s="53">
        <v>18</v>
      </c>
      <c r="F510" s="62"/>
      <c r="G510" s="62"/>
      <c r="H510" s="43"/>
    </row>
    <row r="511" spans="1:8" s="55" customFormat="1" ht="15.75" hidden="1" customHeight="1" x14ac:dyDescent="0.25">
      <c r="A511" s="354">
        <v>1</v>
      </c>
      <c r="B511" s="131" t="e">
        <f>B508+1</f>
        <v>#REF!</v>
      </c>
      <c r="C511" s="14" t="s">
        <v>253</v>
      </c>
      <c r="D511" s="13"/>
      <c r="E511" s="60"/>
      <c r="F511" s="62"/>
      <c r="G511" s="62"/>
      <c r="H511" s="43"/>
    </row>
    <row r="512" spans="1:8" s="55" customFormat="1" ht="15.75" hidden="1" customHeight="1" x14ac:dyDescent="0.25">
      <c r="A512" s="354">
        <v>1</v>
      </c>
      <c r="B512" s="131" t="e">
        <f t="shared" si="17"/>
        <v>#REF!</v>
      </c>
      <c r="C512" s="14" t="s">
        <v>254</v>
      </c>
      <c r="D512" s="13"/>
      <c r="E512" s="60"/>
      <c r="F512" s="62"/>
      <c r="G512" s="62"/>
      <c r="H512" s="43"/>
    </row>
    <row r="513" spans="1:8" s="55" customFormat="1" ht="15.75" hidden="1" customHeight="1" x14ac:dyDescent="0.25">
      <c r="A513" s="354">
        <v>1</v>
      </c>
      <c r="B513" s="131" t="e">
        <f t="shared" si="17"/>
        <v>#REF!</v>
      </c>
      <c r="C513" s="15" t="s">
        <v>255</v>
      </c>
      <c r="D513" s="13"/>
      <c r="E513" s="68"/>
      <c r="F513" s="62"/>
      <c r="G513" s="62"/>
      <c r="H513" s="43"/>
    </row>
    <row r="514" spans="1:8" s="55" customFormat="1" ht="29.25" hidden="1" customHeight="1" x14ac:dyDescent="0.25">
      <c r="A514" s="354">
        <v>1</v>
      </c>
      <c r="B514" s="131" t="e">
        <f t="shared" si="17"/>
        <v>#REF!</v>
      </c>
      <c r="C514" s="14" t="s">
        <v>256</v>
      </c>
      <c r="D514" s="13"/>
      <c r="E514" s="53">
        <v>14000</v>
      </c>
      <c r="F514" s="62"/>
      <c r="G514" s="62"/>
      <c r="H514" s="43"/>
    </row>
    <row r="515" spans="1:8" s="55" customFormat="1" ht="15.75" hidden="1" customHeight="1" x14ac:dyDescent="0.25">
      <c r="A515" s="354">
        <v>1</v>
      </c>
      <c r="B515" s="131" t="e">
        <f t="shared" si="17"/>
        <v>#REF!</v>
      </c>
      <c r="C515" s="19" t="s">
        <v>117</v>
      </c>
      <c r="D515" s="13"/>
      <c r="E515" s="53"/>
      <c r="F515" s="62"/>
      <c r="G515" s="62"/>
      <c r="H515" s="43"/>
    </row>
    <row r="516" spans="1:8" s="55" customFormat="1" ht="15.75" hidden="1" customHeight="1" x14ac:dyDescent="0.25">
      <c r="A516" s="354">
        <v>1</v>
      </c>
      <c r="B516" s="131" t="e">
        <f t="shared" si="17"/>
        <v>#REF!</v>
      </c>
      <c r="C516" s="20" t="s">
        <v>165</v>
      </c>
      <c r="D516" s="13"/>
      <c r="E516" s="544">
        <f>SUM(E517:E520)</f>
        <v>4200</v>
      </c>
      <c r="F516" s="62"/>
      <c r="G516" s="62"/>
      <c r="H516" s="43"/>
    </row>
    <row r="517" spans="1:8" s="55" customFormat="1" ht="15.75" hidden="1" customHeight="1" x14ac:dyDescent="0.25">
      <c r="A517" s="354">
        <v>1</v>
      </c>
      <c r="B517" s="131" t="e">
        <f t="shared" si="17"/>
        <v>#REF!</v>
      </c>
      <c r="C517" s="545" t="s">
        <v>416</v>
      </c>
      <c r="D517" s="13"/>
      <c r="E517" s="53">
        <v>400</v>
      </c>
      <c r="F517" s="373"/>
      <c r="G517" s="373"/>
      <c r="H517" s="29"/>
    </row>
    <row r="518" spans="1:8" s="55" customFormat="1" ht="30" hidden="1" customHeight="1" x14ac:dyDescent="0.25">
      <c r="A518" s="354">
        <v>1</v>
      </c>
      <c r="B518" s="131" t="e">
        <f t="shared" si="17"/>
        <v>#REF!</v>
      </c>
      <c r="C518" s="545" t="s">
        <v>204</v>
      </c>
      <c r="D518" s="13"/>
      <c r="E518" s="53">
        <v>1500</v>
      </c>
      <c r="F518" s="373"/>
      <c r="G518" s="373"/>
      <c r="H518" s="29"/>
    </row>
    <row r="519" spans="1:8" s="55" customFormat="1" ht="15.75" hidden="1" customHeight="1" x14ac:dyDescent="0.25">
      <c r="A519" s="354">
        <v>1</v>
      </c>
      <c r="B519" s="131" t="e">
        <f t="shared" si="17"/>
        <v>#REF!</v>
      </c>
      <c r="C519" s="546" t="s">
        <v>119</v>
      </c>
      <c r="D519" s="13"/>
      <c r="E519" s="53">
        <v>1200</v>
      </c>
      <c r="F519" s="373"/>
      <c r="G519" s="373"/>
      <c r="H519" s="29"/>
    </row>
    <row r="520" spans="1:8" s="55" customFormat="1" ht="15.75" hidden="1" customHeight="1" x14ac:dyDescent="0.25">
      <c r="A520" s="354">
        <v>1</v>
      </c>
      <c r="B520" s="131" t="e">
        <f t="shared" si="17"/>
        <v>#REF!</v>
      </c>
      <c r="C520" s="546" t="s">
        <v>31</v>
      </c>
      <c r="D520" s="13"/>
      <c r="E520" s="53">
        <v>1100</v>
      </c>
      <c r="F520" s="373"/>
      <c r="G520" s="373"/>
      <c r="H520" s="29"/>
    </row>
    <row r="521" spans="1:8" s="55" customFormat="1" ht="43.5" hidden="1" customHeight="1" x14ac:dyDescent="0.25">
      <c r="A521" s="354">
        <v>1</v>
      </c>
      <c r="B521" s="131" t="e">
        <f t="shared" si="17"/>
        <v>#REF!</v>
      </c>
      <c r="C521" s="21" t="s">
        <v>396</v>
      </c>
      <c r="D521" s="13"/>
      <c r="E521" s="508">
        <f>E486</f>
        <v>13709</v>
      </c>
      <c r="F521" s="373"/>
      <c r="G521" s="373"/>
      <c r="H521" s="29"/>
    </row>
    <row r="522" spans="1:8" s="55" customFormat="1" ht="15.75" hidden="1" customHeight="1" x14ac:dyDescent="0.25">
      <c r="A522" s="354">
        <v>1</v>
      </c>
      <c r="B522" s="131" t="e">
        <f t="shared" si="17"/>
        <v>#REF!</v>
      </c>
      <c r="C522" s="21" t="s">
        <v>195</v>
      </c>
      <c r="D522" s="13"/>
      <c r="E522" s="508">
        <f>E499+E475</f>
        <v>20118</v>
      </c>
      <c r="F522" s="373"/>
      <c r="G522" s="373"/>
      <c r="H522" s="29"/>
    </row>
    <row r="523" spans="1:8" s="55" customFormat="1" ht="29.25" hidden="1" customHeight="1" x14ac:dyDescent="0.25">
      <c r="A523" s="354">
        <v>1</v>
      </c>
      <c r="B523" s="131" t="e">
        <f t="shared" si="17"/>
        <v>#REF!</v>
      </c>
      <c r="C523" s="21" t="s">
        <v>196</v>
      </c>
      <c r="D523" s="13"/>
      <c r="E523" s="508">
        <f>E487</f>
        <v>20821</v>
      </c>
      <c r="F523" s="373"/>
      <c r="G523" s="373"/>
      <c r="H523" s="29"/>
    </row>
    <row r="524" spans="1:8" s="55" customFormat="1" ht="15.75" hidden="1" customHeight="1" x14ac:dyDescent="0.25">
      <c r="A524" s="354">
        <v>1</v>
      </c>
      <c r="B524" s="131" t="e">
        <f t="shared" si="17"/>
        <v>#REF!</v>
      </c>
      <c r="C524" s="21" t="s">
        <v>197</v>
      </c>
      <c r="D524" s="13"/>
      <c r="E524" s="508">
        <f>E511+E481</f>
        <v>45000</v>
      </c>
      <c r="F524" s="373"/>
      <c r="G524" s="373"/>
      <c r="H524" s="29"/>
    </row>
    <row r="525" spans="1:8" s="55" customFormat="1" ht="29.25" hidden="1" customHeight="1" x14ac:dyDescent="0.25">
      <c r="A525" s="354">
        <v>1</v>
      </c>
      <c r="B525" s="131" t="e">
        <f t="shared" si="17"/>
        <v>#REF!</v>
      </c>
      <c r="C525" s="21" t="s">
        <v>198</v>
      </c>
      <c r="D525" s="13"/>
      <c r="E525" s="508">
        <f>E514</f>
        <v>14000</v>
      </c>
      <c r="F525" s="373"/>
      <c r="G525" s="373"/>
      <c r="H525" s="29"/>
    </row>
    <row r="526" spans="1:8" s="55" customFormat="1" ht="15.75" hidden="1" customHeight="1" x14ac:dyDescent="0.25">
      <c r="A526" s="354">
        <v>1</v>
      </c>
      <c r="B526" s="131" t="e">
        <f t="shared" si="17"/>
        <v>#REF!</v>
      </c>
      <c r="C526" s="22" t="s">
        <v>112</v>
      </c>
      <c r="D526" s="13"/>
      <c r="E526" s="508">
        <f>E523+E522+E525+E524*2.6+E521*2.6</f>
        <v>207582.4</v>
      </c>
      <c r="F526" s="373"/>
      <c r="G526" s="373"/>
      <c r="H526" s="29"/>
    </row>
    <row r="527" spans="1:8" ht="15.75" hidden="1" customHeight="1" x14ac:dyDescent="0.25">
      <c r="A527" s="354">
        <v>1</v>
      </c>
      <c r="B527" s="131" t="e">
        <f t="shared" si="17"/>
        <v>#REF!</v>
      </c>
      <c r="C527" s="44" t="s">
        <v>7</v>
      </c>
      <c r="D527" s="13"/>
      <c r="E527" s="53"/>
      <c r="F527" s="2"/>
      <c r="G527" s="2"/>
      <c r="H527" s="2"/>
    </row>
    <row r="528" spans="1:8" ht="15.75" hidden="1" customHeight="1" x14ac:dyDescent="0.25">
      <c r="A528" s="354">
        <v>1</v>
      </c>
      <c r="B528" s="131" t="e">
        <f t="shared" si="17"/>
        <v>#REF!</v>
      </c>
      <c r="C528" s="293" t="s">
        <v>71</v>
      </c>
      <c r="D528" s="13"/>
      <c r="E528" s="53"/>
      <c r="F528" s="2"/>
      <c r="G528" s="2"/>
      <c r="H528" s="2"/>
    </row>
    <row r="529" spans="1:8" ht="15.75" hidden="1" customHeight="1" x14ac:dyDescent="0.25">
      <c r="A529" s="354">
        <v>1</v>
      </c>
      <c r="B529" s="131" t="e">
        <f t="shared" si="17"/>
        <v>#REF!</v>
      </c>
      <c r="C529" s="539" t="s">
        <v>35</v>
      </c>
      <c r="D529" s="52">
        <v>240</v>
      </c>
      <c r="E529" s="53">
        <v>2008</v>
      </c>
      <c r="F529" s="47">
        <v>8</v>
      </c>
      <c r="G529" s="2">
        <f>ROUND(H529/D529,0)</f>
        <v>67</v>
      </c>
      <c r="H529" s="2">
        <f>ROUND(E529*F529,0)</f>
        <v>16064</v>
      </c>
    </row>
    <row r="530" spans="1:8" ht="15.75" hidden="1" customHeight="1" x14ac:dyDescent="0.25">
      <c r="A530" s="354">
        <v>1</v>
      </c>
      <c r="B530" s="131" t="e">
        <f t="shared" si="17"/>
        <v>#REF!</v>
      </c>
      <c r="C530" s="547" t="s">
        <v>94</v>
      </c>
      <c r="D530" s="13"/>
      <c r="E530" s="506">
        <f>SUM(E529)</f>
        <v>2008</v>
      </c>
      <c r="F530" s="158">
        <f>H530/E530</f>
        <v>8</v>
      </c>
      <c r="G530" s="31">
        <f>G528+G529</f>
        <v>67</v>
      </c>
      <c r="H530" s="31">
        <f>H528+H529</f>
        <v>16064</v>
      </c>
    </row>
    <row r="531" spans="1:8" ht="15.75" hidden="1" customHeight="1" x14ac:dyDescent="0.25">
      <c r="A531" s="354">
        <v>1</v>
      </c>
      <c r="B531" s="131" t="e">
        <f t="shared" si="17"/>
        <v>#REF!</v>
      </c>
      <c r="C531" s="548" t="s">
        <v>88</v>
      </c>
      <c r="D531" s="64"/>
      <c r="E531" s="518">
        <f>E530</f>
        <v>2008</v>
      </c>
      <c r="F531" s="158">
        <f>H531/E531</f>
        <v>8</v>
      </c>
      <c r="G531" s="289">
        <f>G530</f>
        <v>67</v>
      </c>
      <c r="H531" s="289">
        <f>H530</f>
        <v>16064</v>
      </c>
    </row>
    <row r="532" spans="1:8" ht="16.5" hidden="1" customHeight="1" thickBot="1" x14ac:dyDescent="0.3">
      <c r="A532" s="354">
        <v>1</v>
      </c>
      <c r="B532" s="131" t="e">
        <f t="shared" si="17"/>
        <v>#REF!</v>
      </c>
      <c r="C532" s="488" t="s">
        <v>213</v>
      </c>
      <c r="D532" s="489"/>
      <c r="E532" s="543"/>
      <c r="F532" s="489"/>
      <c r="G532" s="489"/>
      <c r="H532" s="489"/>
    </row>
    <row r="533" spans="1:8" ht="15.75" hidden="1" customHeight="1" x14ac:dyDescent="0.25">
      <c r="A533" s="354">
        <v>1</v>
      </c>
      <c r="B533" s="131" t="e">
        <f t="shared" si="17"/>
        <v>#REF!</v>
      </c>
      <c r="C533" s="497"/>
      <c r="D533" s="378"/>
      <c r="E533" s="53"/>
      <c r="F533" s="2"/>
      <c r="G533" s="2"/>
      <c r="H533" s="2"/>
    </row>
    <row r="534" spans="1:8" ht="29.25" customHeight="1" x14ac:dyDescent="0.25">
      <c r="A534" s="354">
        <v>1</v>
      </c>
      <c r="B534" s="131" t="e">
        <f t="shared" si="17"/>
        <v>#REF!</v>
      </c>
      <c r="C534" s="686" t="s">
        <v>356</v>
      </c>
      <c r="D534" s="63"/>
      <c r="E534" s="53"/>
      <c r="F534" s="2"/>
      <c r="G534" s="2"/>
      <c r="H534" s="2"/>
    </row>
    <row r="535" spans="1:8" ht="15.75" customHeight="1" x14ac:dyDescent="0.25">
      <c r="A535" s="354">
        <v>1</v>
      </c>
      <c r="B535" s="131" t="e">
        <f t="shared" si="17"/>
        <v>#REF!</v>
      </c>
      <c r="C535" s="499" t="s">
        <v>4</v>
      </c>
      <c r="D535" s="63"/>
      <c r="E535" s="53"/>
      <c r="F535" s="2"/>
      <c r="G535" s="2"/>
      <c r="H535" s="2"/>
    </row>
    <row r="536" spans="1:8" ht="15.75" customHeight="1" x14ac:dyDescent="0.25">
      <c r="A536" s="354">
        <v>1</v>
      </c>
      <c r="B536" s="131" t="e">
        <f t="shared" si="17"/>
        <v>#REF!</v>
      </c>
      <c r="C536" s="500" t="s">
        <v>21</v>
      </c>
      <c r="D536" s="52">
        <v>340</v>
      </c>
      <c r="E536" s="53">
        <v>285</v>
      </c>
      <c r="F536" s="47">
        <v>3.3</v>
      </c>
      <c r="G536" s="2">
        <f>ROUND(H536/D536,0)</f>
        <v>3</v>
      </c>
      <c r="H536" s="2">
        <f>ROUND(E536*F536,0)</f>
        <v>941</v>
      </c>
    </row>
    <row r="537" spans="1:8" ht="15.75" customHeight="1" x14ac:dyDescent="0.25">
      <c r="A537" s="354">
        <v>1</v>
      </c>
      <c r="B537" s="131" t="e">
        <f t="shared" si="17"/>
        <v>#REF!</v>
      </c>
      <c r="C537" s="500" t="s">
        <v>10</v>
      </c>
      <c r="D537" s="52">
        <v>340</v>
      </c>
      <c r="E537" s="53">
        <v>299</v>
      </c>
      <c r="F537" s="47">
        <v>3.8</v>
      </c>
      <c r="G537" s="2">
        <f>ROUND(H537/D537,0)</f>
        <v>3</v>
      </c>
      <c r="H537" s="2">
        <f>ROUND(E537*F537,0)</f>
        <v>1136</v>
      </c>
    </row>
    <row r="538" spans="1:8" ht="15.75" customHeight="1" x14ac:dyDescent="0.25">
      <c r="A538" s="354">
        <v>1</v>
      </c>
      <c r="B538" s="131" t="e">
        <f t="shared" ref="B538:B604" si="18">B537+1</f>
        <v>#REF!</v>
      </c>
      <c r="C538" s="526" t="s">
        <v>5</v>
      </c>
      <c r="D538" s="63"/>
      <c r="E538" s="508">
        <f>SUM(E536:E537)</f>
        <v>584</v>
      </c>
      <c r="F538" s="158">
        <f>H538/E538</f>
        <v>3.5565068493150687</v>
      </c>
      <c r="G538" s="29">
        <f>G536+G537</f>
        <v>6</v>
      </c>
      <c r="H538" s="29">
        <f>H536+H537</f>
        <v>2077</v>
      </c>
    </row>
    <row r="539" spans="1:8" s="55" customFormat="1" ht="48" customHeight="1" x14ac:dyDescent="0.25">
      <c r="A539" s="354">
        <v>1</v>
      </c>
      <c r="B539" s="131" t="e">
        <f t="shared" si="18"/>
        <v>#REF!</v>
      </c>
      <c r="C539" s="128" t="s">
        <v>250</v>
      </c>
      <c r="D539" s="12"/>
      <c r="E539" s="512"/>
      <c r="F539" s="54"/>
      <c r="G539" s="54"/>
      <c r="H539" s="54"/>
    </row>
    <row r="540" spans="1:8" s="55" customFormat="1" ht="15.75" customHeight="1" x14ac:dyDescent="0.25">
      <c r="A540" s="354">
        <v>1</v>
      </c>
      <c r="B540" s="131" t="e">
        <f t="shared" si="18"/>
        <v>#REF!</v>
      </c>
      <c r="C540" s="14" t="s">
        <v>192</v>
      </c>
      <c r="D540" s="12"/>
      <c r="E540" s="512">
        <f>E541+E542+E544+E545</f>
        <v>12200</v>
      </c>
      <c r="F540" s="54"/>
      <c r="G540" s="54"/>
      <c r="H540" s="54"/>
    </row>
    <row r="541" spans="1:8" s="55" customFormat="1" ht="15.75" customHeight="1" x14ac:dyDescent="0.25">
      <c r="A541" s="354">
        <v>1</v>
      </c>
      <c r="B541" s="131" t="e">
        <f t="shared" si="18"/>
        <v>#REF!</v>
      </c>
      <c r="C541" s="18" t="s">
        <v>116</v>
      </c>
      <c r="D541" s="12"/>
      <c r="E541" s="56"/>
      <c r="F541" s="54"/>
      <c r="G541" s="54"/>
      <c r="H541" s="54"/>
    </row>
    <row r="542" spans="1:8" s="55" customFormat="1" ht="30" customHeight="1" x14ac:dyDescent="0.25">
      <c r="A542" s="354">
        <v>1</v>
      </c>
      <c r="B542" s="131" t="e">
        <f t="shared" si="18"/>
        <v>#REF!</v>
      </c>
      <c r="C542" s="15" t="s">
        <v>397</v>
      </c>
      <c r="D542" s="12"/>
      <c r="E542" s="56">
        <v>7000</v>
      </c>
      <c r="F542" s="54"/>
      <c r="G542" s="54"/>
      <c r="H542" s="54"/>
    </row>
    <row r="543" spans="1:8" s="55" customFormat="1" ht="45" customHeight="1" x14ac:dyDescent="0.25">
      <c r="A543" s="354">
        <v>1</v>
      </c>
      <c r="B543" s="131" t="e">
        <f t="shared" si="18"/>
        <v>#REF!</v>
      </c>
      <c r="C543" s="15" t="s">
        <v>398</v>
      </c>
      <c r="D543" s="12"/>
      <c r="E543" s="512">
        <v>800</v>
      </c>
      <c r="F543" s="54"/>
      <c r="G543" s="54"/>
      <c r="H543" s="54"/>
    </row>
    <row r="544" spans="1:8" s="55" customFormat="1" ht="45" customHeight="1" x14ac:dyDescent="0.25">
      <c r="A544" s="354">
        <v>1</v>
      </c>
      <c r="B544" s="131" t="e">
        <f t="shared" si="18"/>
        <v>#REF!</v>
      </c>
      <c r="C544" s="15" t="s">
        <v>399</v>
      </c>
      <c r="D544" s="12"/>
      <c r="E544" s="56">
        <v>4000</v>
      </c>
      <c r="F544" s="54"/>
      <c r="G544" s="54"/>
      <c r="H544" s="54"/>
    </row>
    <row r="545" spans="1:8" s="55" customFormat="1" ht="75" customHeight="1" x14ac:dyDescent="0.25">
      <c r="A545" s="354">
        <v>1</v>
      </c>
      <c r="B545" s="131" t="e">
        <f t="shared" si="18"/>
        <v>#REF!</v>
      </c>
      <c r="C545" s="15" t="s">
        <v>400</v>
      </c>
      <c r="D545" s="12"/>
      <c r="E545" s="56">
        <v>1200</v>
      </c>
      <c r="F545" s="54"/>
      <c r="G545" s="54"/>
      <c r="H545" s="54"/>
    </row>
    <row r="546" spans="1:8" s="55" customFormat="1" ht="15.75" customHeight="1" x14ac:dyDescent="0.25">
      <c r="A546" s="354">
        <v>1</v>
      </c>
      <c r="B546" s="131" t="e">
        <f t="shared" si="18"/>
        <v>#REF!</v>
      </c>
      <c r="C546" s="57" t="s">
        <v>90</v>
      </c>
      <c r="D546" s="12"/>
      <c r="E546" s="512">
        <f>E547+E549</f>
        <v>68960</v>
      </c>
      <c r="F546" s="54"/>
      <c r="G546" s="54"/>
      <c r="H546" s="54"/>
    </row>
    <row r="547" spans="1:8" s="55" customFormat="1" ht="15.75" customHeight="1" x14ac:dyDescent="0.25">
      <c r="A547" s="354">
        <v>1</v>
      </c>
      <c r="B547" s="131" t="e">
        <f t="shared" si="18"/>
        <v>#REF!</v>
      </c>
      <c r="C547" s="15" t="s">
        <v>145</v>
      </c>
      <c r="D547" s="12"/>
      <c r="E547" s="56">
        <v>65167</v>
      </c>
      <c r="F547" s="54"/>
      <c r="G547" s="54"/>
      <c r="H547" s="54"/>
    </row>
    <row r="548" spans="1:8" s="55" customFormat="1" ht="45" x14ac:dyDescent="0.25">
      <c r="A548" s="354">
        <v>1</v>
      </c>
      <c r="B548" s="131" t="e">
        <f t="shared" si="18"/>
        <v>#REF!</v>
      </c>
      <c r="C548" s="15" t="s">
        <v>414</v>
      </c>
      <c r="D548" s="12"/>
      <c r="E548" s="56"/>
      <c r="F548" s="54"/>
      <c r="G548" s="54"/>
      <c r="H548" s="54"/>
    </row>
    <row r="549" spans="1:8" s="55" customFormat="1" ht="60" x14ac:dyDescent="0.25">
      <c r="A549" s="354"/>
      <c r="B549" s="131"/>
      <c r="C549" s="15" t="s">
        <v>421</v>
      </c>
      <c r="D549" s="12"/>
      <c r="E549" s="56">
        <v>3793</v>
      </c>
      <c r="F549" s="54"/>
      <c r="G549" s="54"/>
      <c r="H549" s="54"/>
    </row>
    <row r="550" spans="1:8" s="55" customFormat="1" ht="15.75" customHeight="1" x14ac:dyDescent="0.25">
      <c r="A550" s="354">
        <v>1</v>
      </c>
      <c r="B550" s="131" t="e">
        <f>B548+1</f>
        <v>#REF!</v>
      </c>
      <c r="C550" s="33" t="s">
        <v>98</v>
      </c>
      <c r="D550" s="12"/>
      <c r="E550" s="56"/>
      <c r="F550" s="54"/>
      <c r="G550" s="54"/>
      <c r="H550" s="54"/>
    </row>
    <row r="551" spans="1:8" s="55" customFormat="1" ht="60" customHeight="1" x14ac:dyDescent="0.25">
      <c r="A551" s="354">
        <v>1</v>
      </c>
      <c r="B551" s="131" t="e">
        <f t="shared" si="18"/>
        <v>#REF!</v>
      </c>
      <c r="C551" s="15" t="s">
        <v>420</v>
      </c>
      <c r="D551" s="12"/>
      <c r="E551" s="56">
        <v>18965</v>
      </c>
      <c r="F551" s="54"/>
      <c r="G551" s="54"/>
      <c r="H551" s="54"/>
    </row>
    <row r="552" spans="1:8" s="55" customFormat="1" ht="47.25" customHeight="1" x14ac:dyDescent="0.25">
      <c r="A552" s="354">
        <v>1</v>
      </c>
      <c r="B552" s="131" t="e">
        <f t="shared" si="18"/>
        <v>#REF!</v>
      </c>
      <c r="C552" s="58" t="s">
        <v>333</v>
      </c>
      <c r="D552" s="12"/>
      <c r="E552" s="512">
        <f>E553+E560</f>
        <v>30136</v>
      </c>
      <c r="F552" s="54"/>
      <c r="G552" s="54"/>
      <c r="H552" s="54"/>
    </row>
    <row r="553" spans="1:8" s="55" customFormat="1" ht="18" customHeight="1" x14ac:dyDescent="0.25">
      <c r="A553" s="354">
        <v>1</v>
      </c>
      <c r="B553" s="131" t="e">
        <f t="shared" si="18"/>
        <v>#REF!</v>
      </c>
      <c r="C553" s="16" t="s">
        <v>193</v>
      </c>
      <c r="D553" s="59"/>
      <c r="E553" s="60">
        <f>SUM(E554:E559)-E557</f>
        <v>24723</v>
      </c>
      <c r="F553" s="54"/>
      <c r="G553" s="54"/>
      <c r="H553" s="54"/>
    </row>
    <row r="554" spans="1:8" s="55" customFormat="1" ht="35.25" customHeight="1" x14ac:dyDescent="0.25">
      <c r="A554" s="354">
        <v>1</v>
      </c>
      <c r="B554" s="131" t="e">
        <f t="shared" si="18"/>
        <v>#REF!</v>
      </c>
      <c r="C554" s="15" t="s">
        <v>334</v>
      </c>
      <c r="D554" s="59"/>
      <c r="E554" s="60">
        <v>20582</v>
      </c>
      <c r="F554" s="54"/>
      <c r="G554" s="54"/>
      <c r="H554" s="54"/>
    </row>
    <row r="555" spans="1:8" s="55" customFormat="1" ht="45" customHeight="1" x14ac:dyDescent="0.25">
      <c r="A555" s="354">
        <v>1</v>
      </c>
      <c r="B555" s="131" t="e">
        <f t="shared" si="18"/>
        <v>#REF!</v>
      </c>
      <c r="C555" s="15" t="s">
        <v>335</v>
      </c>
      <c r="D555" s="59"/>
      <c r="E555" s="53"/>
      <c r="F555" s="54"/>
      <c r="G555" s="54"/>
      <c r="H555" s="54"/>
    </row>
    <row r="556" spans="1:8" s="55" customFormat="1" ht="30" customHeight="1" x14ac:dyDescent="0.25">
      <c r="A556" s="354">
        <v>1</v>
      </c>
      <c r="B556" s="131" t="e">
        <f t="shared" si="18"/>
        <v>#REF!</v>
      </c>
      <c r="C556" s="15" t="s">
        <v>380</v>
      </c>
      <c r="D556" s="59"/>
      <c r="E556" s="53">
        <v>4141</v>
      </c>
      <c r="F556" s="54"/>
      <c r="G556" s="54"/>
      <c r="H556" s="54"/>
    </row>
    <row r="557" spans="1:8" s="55" customFormat="1" ht="30" customHeight="1" x14ac:dyDescent="0.25">
      <c r="A557" s="354">
        <v>1</v>
      </c>
      <c r="B557" s="131" t="e">
        <f t="shared" si="18"/>
        <v>#REF!</v>
      </c>
      <c r="C557" s="15" t="s">
        <v>381</v>
      </c>
      <c r="D557" s="59"/>
      <c r="E557" s="53"/>
      <c r="F557" s="54"/>
      <c r="G557" s="54"/>
      <c r="H557" s="54"/>
    </row>
    <row r="558" spans="1:8" s="55" customFormat="1" ht="30" customHeight="1" x14ac:dyDescent="0.25">
      <c r="A558" s="354">
        <v>1</v>
      </c>
      <c r="B558" s="131" t="e">
        <f t="shared" si="18"/>
        <v>#REF!</v>
      </c>
      <c r="C558" s="15" t="s">
        <v>382</v>
      </c>
      <c r="D558" s="59"/>
      <c r="E558" s="53"/>
      <c r="F558" s="54"/>
      <c r="G558" s="54"/>
      <c r="H558" s="54"/>
    </row>
    <row r="559" spans="1:8" s="55" customFormat="1" ht="30" customHeight="1" x14ac:dyDescent="0.25">
      <c r="A559" s="354">
        <v>1</v>
      </c>
      <c r="B559" s="131" t="e">
        <f t="shared" si="18"/>
        <v>#REF!</v>
      </c>
      <c r="C559" s="15" t="s">
        <v>383</v>
      </c>
      <c r="D559" s="59"/>
      <c r="E559" s="53"/>
      <c r="F559" s="54"/>
      <c r="G559" s="54"/>
      <c r="H559" s="54"/>
    </row>
    <row r="560" spans="1:8" s="55" customFormat="1" ht="30" customHeight="1" x14ac:dyDescent="0.25">
      <c r="A560" s="354">
        <v>1</v>
      </c>
      <c r="B560" s="131" t="e">
        <f t="shared" si="18"/>
        <v>#REF!</v>
      </c>
      <c r="C560" s="16" t="s">
        <v>194</v>
      </c>
      <c r="D560" s="59"/>
      <c r="E560" s="502">
        <f>SUM(E561:E563)</f>
        <v>5413</v>
      </c>
      <c r="F560" s="54"/>
      <c r="G560" s="54"/>
      <c r="H560" s="54"/>
    </row>
    <row r="561" spans="1:8" ht="30" customHeight="1" x14ac:dyDescent="0.25">
      <c r="A561" s="354">
        <v>1</v>
      </c>
      <c r="B561" s="131" t="e">
        <f t="shared" si="18"/>
        <v>#REF!</v>
      </c>
      <c r="C561" s="15" t="s">
        <v>384</v>
      </c>
      <c r="D561" s="13"/>
      <c r="E561" s="53">
        <v>5413</v>
      </c>
      <c r="F561" s="549"/>
      <c r="G561" s="549"/>
      <c r="H561" s="2"/>
    </row>
    <row r="562" spans="1:8" s="55" customFormat="1" ht="45" customHeight="1" x14ac:dyDescent="0.25">
      <c r="A562" s="354">
        <v>1</v>
      </c>
      <c r="B562" s="131" t="e">
        <f t="shared" si="18"/>
        <v>#REF!</v>
      </c>
      <c r="C562" s="15" t="s">
        <v>385</v>
      </c>
      <c r="D562" s="277"/>
      <c r="E562" s="53"/>
      <c r="F562" s="54"/>
      <c r="G562" s="54"/>
      <c r="H562" s="54"/>
    </row>
    <row r="563" spans="1:8" s="55" customFormat="1" ht="45" customHeight="1" x14ac:dyDescent="0.25">
      <c r="A563" s="354">
        <v>1</v>
      </c>
      <c r="B563" s="131" t="e">
        <f t="shared" si="18"/>
        <v>#REF!</v>
      </c>
      <c r="C563" s="15" t="s">
        <v>386</v>
      </c>
      <c r="D563" s="61"/>
      <c r="E563" s="60"/>
      <c r="F563" s="62"/>
      <c r="G563" s="62"/>
      <c r="H563" s="43"/>
    </row>
    <row r="564" spans="1:8" s="55" customFormat="1" ht="15.75" customHeight="1" x14ac:dyDescent="0.25">
      <c r="A564" s="354">
        <v>1</v>
      </c>
      <c r="B564" s="131" t="e">
        <f t="shared" si="18"/>
        <v>#REF!</v>
      </c>
      <c r="C564" s="14" t="s">
        <v>251</v>
      </c>
      <c r="D564" s="13"/>
      <c r="E564" s="508">
        <f>E565+E566+E570+E571+E572+E573+E574*5</f>
        <v>9361</v>
      </c>
      <c r="F564" s="62"/>
      <c r="G564" s="62"/>
      <c r="H564" s="43"/>
    </row>
    <row r="565" spans="1:8" s="55" customFormat="1" ht="15.75" customHeight="1" x14ac:dyDescent="0.25">
      <c r="A565" s="354">
        <v>1</v>
      </c>
      <c r="B565" s="131" t="e">
        <f t="shared" si="18"/>
        <v>#REF!</v>
      </c>
      <c r="C565" s="15" t="s">
        <v>252</v>
      </c>
      <c r="D565" s="13"/>
      <c r="E565" s="53"/>
      <c r="F565" s="62"/>
      <c r="G565" s="62"/>
      <c r="H565" s="43"/>
    </row>
    <row r="566" spans="1:8" s="55" customFormat="1" ht="30" customHeight="1" x14ac:dyDescent="0.25">
      <c r="A566" s="354">
        <v>1</v>
      </c>
      <c r="B566" s="131" t="e">
        <f t="shared" si="18"/>
        <v>#REF!</v>
      </c>
      <c r="C566" s="16" t="s">
        <v>388</v>
      </c>
      <c r="D566" s="13"/>
      <c r="E566" s="53">
        <f>SUM(E567,E569)</f>
        <v>300</v>
      </c>
      <c r="F566" s="62"/>
      <c r="G566" s="62"/>
      <c r="H566" s="43"/>
    </row>
    <row r="567" spans="1:8" s="145" customFormat="1" ht="15.75" customHeight="1" x14ac:dyDescent="0.25">
      <c r="A567" s="354">
        <v>1</v>
      </c>
      <c r="B567" s="131" t="e">
        <f t="shared" si="18"/>
        <v>#REF!</v>
      </c>
      <c r="C567" s="15" t="s">
        <v>389</v>
      </c>
      <c r="D567" s="13"/>
      <c r="E567" s="17">
        <v>300</v>
      </c>
      <c r="F567" s="10"/>
      <c r="G567" s="10"/>
      <c r="H567" s="10"/>
    </row>
    <row r="568" spans="1:8" s="55" customFormat="1" ht="30" customHeight="1" x14ac:dyDescent="0.25">
      <c r="A568" s="354">
        <v>1</v>
      </c>
      <c r="B568" s="131" t="e">
        <f t="shared" si="18"/>
        <v>#REF!</v>
      </c>
      <c r="C568" s="15" t="s">
        <v>390</v>
      </c>
      <c r="D568" s="13"/>
      <c r="E568" s="53"/>
      <c r="F568" s="62"/>
      <c r="G568" s="62"/>
      <c r="H568" s="43"/>
    </row>
    <row r="569" spans="1:8" s="55" customFormat="1" ht="45" customHeight="1" x14ac:dyDescent="0.25">
      <c r="A569" s="354">
        <v>1</v>
      </c>
      <c r="B569" s="131" t="e">
        <f t="shared" si="18"/>
        <v>#REF!</v>
      </c>
      <c r="C569" s="15" t="s">
        <v>391</v>
      </c>
      <c r="D569" s="13"/>
      <c r="E569" s="60"/>
      <c r="F569" s="62"/>
      <c r="G569" s="62"/>
      <c r="H569" s="43"/>
    </row>
    <row r="570" spans="1:8" s="55" customFormat="1" ht="45" customHeight="1" x14ac:dyDescent="0.25">
      <c r="A570" s="354">
        <v>1</v>
      </c>
      <c r="B570" s="131" t="e">
        <f t="shared" si="18"/>
        <v>#REF!</v>
      </c>
      <c r="C570" s="15" t="s">
        <v>392</v>
      </c>
      <c r="D570" s="13"/>
      <c r="E570" s="60"/>
      <c r="F570" s="62"/>
      <c r="G570" s="62"/>
      <c r="H570" s="43"/>
    </row>
    <row r="571" spans="1:8" s="55" customFormat="1" ht="45" customHeight="1" x14ac:dyDescent="0.25">
      <c r="A571" s="354">
        <v>1</v>
      </c>
      <c r="B571" s="131" t="e">
        <f t="shared" si="18"/>
        <v>#REF!</v>
      </c>
      <c r="C571" s="18" t="s">
        <v>393</v>
      </c>
      <c r="D571" s="13"/>
      <c r="E571" s="60"/>
      <c r="F571" s="62"/>
      <c r="G571" s="62"/>
      <c r="H571" s="43"/>
    </row>
    <row r="572" spans="1:8" s="55" customFormat="1" ht="75" customHeight="1" x14ac:dyDescent="0.25">
      <c r="A572" s="354">
        <v>1</v>
      </c>
      <c r="B572" s="131" t="e">
        <f t="shared" si="18"/>
        <v>#REF!</v>
      </c>
      <c r="C572" s="18" t="s">
        <v>394</v>
      </c>
      <c r="D572" s="13"/>
      <c r="E572" s="53">
        <v>2536</v>
      </c>
      <c r="F572" s="62"/>
      <c r="G572" s="62"/>
      <c r="H572" s="43"/>
    </row>
    <row r="573" spans="1:8" s="55" customFormat="1" ht="30" customHeight="1" x14ac:dyDescent="0.25">
      <c r="A573" s="354">
        <v>1</v>
      </c>
      <c r="B573" s="131" t="e">
        <f t="shared" si="18"/>
        <v>#REF!</v>
      </c>
      <c r="C573" s="15" t="s">
        <v>395</v>
      </c>
      <c r="D573" s="13"/>
      <c r="E573" s="56">
        <v>6175</v>
      </c>
      <c r="F573" s="54"/>
      <c r="G573" s="54"/>
      <c r="H573" s="54"/>
    </row>
    <row r="574" spans="1:8" s="55" customFormat="1" ht="30" customHeight="1" x14ac:dyDescent="0.25">
      <c r="A574" s="354"/>
      <c r="B574" s="131"/>
      <c r="C574" s="617" t="s">
        <v>422</v>
      </c>
      <c r="D574" s="13"/>
      <c r="E574" s="618">
        <f>E575</f>
        <v>70</v>
      </c>
      <c r="F574" s="54"/>
      <c r="G574" s="54"/>
      <c r="H574" s="54"/>
    </row>
    <row r="575" spans="1:8" s="55" customFormat="1" ht="30" customHeight="1" x14ac:dyDescent="0.25">
      <c r="A575" s="354"/>
      <c r="B575" s="131"/>
      <c r="C575" s="18" t="s">
        <v>424</v>
      </c>
      <c r="D575" s="13"/>
      <c r="E575" s="568">
        <v>70</v>
      </c>
      <c r="F575" s="54"/>
      <c r="G575" s="54"/>
      <c r="H575" s="54"/>
    </row>
    <row r="576" spans="1:8" s="55" customFormat="1" ht="15.75" customHeight="1" x14ac:dyDescent="0.25">
      <c r="A576" s="354">
        <v>1</v>
      </c>
      <c r="B576" s="131" t="e">
        <f>B573+1</f>
        <v>#REF!</v>
      </c>
      <c r="C576" s="14" t="s">
        <v>253</v>
      </c>
      <c r="D576" s="13"/>
      <c r="E576" s="68"/>
      <c r="F576" s="62"/>
      <c r="G576" s="62"/>
      <c r="H576" s="43"/>
    </row>
    <row r="577" spans="1:8" s="55" customFormat="1" ht="15.75" customHeight="1" x14ac:dyDescent="0.25">
      <c r="A577" s="354">
        <v>1</v>
      </c>
      <c r="B577" s="131" t="e">
        <f t="shared" si="18"/>
        <v>#REF!</v>
      </c>
      <c r="C577" s="14" t="s">
        <v>254</v>
      </c>
      <c r="D577" s="13"/>
      <c r="E577" s="53"/>
      <c r="F577" s="62"/>
      <c r="G577" s="62"/>
      <c r="H577" s="43"/>
    </row>
    <row r="578" spans="1:8" s="55" customFormat="1" ht="15.75" customHeight="1" x14ac:dyDescent="0.25">
      <c r="A578" s="354">
        <v>1</v>
      </c>
      <c r="B578" s="131" t="e">
        <f t="shared" si="18"/>
        <v>#REF!</v>
      </c>
      <c r="C578" s="15" t="s">
        <v>255</v>
      </c>
      <c r="D578" s="13"/>
      <c r="E578" s="53"/>
      <c r="F578" s="62"/>
      <c r="G578" s="62"/>
      <c r="H578" s="43"/>
    </row>
    <row r="579" spans="1:8" s="55" customFormat="1" ht="15.75" customHeight="1" x14ac:dyDescent="0.25">
      <c r="A579" s="354">
        <v>1</v>
      </c>
      <c r="B579" s="131" t="e">
        <f t="shared" si="18"/>
        <v>#REF!</v>
      </c>
      <c r="C579" s="42" t="s">
        <v>261</v>
      </c>
      <c r="D579" s="13"/>
      <c r="E579" s="550"/>
      <c r="F579" s="62"/>
      <c r="G579" s="62"/>
      <c r="H579" s="43"/>
    </row>
    <row r="580" spans="1:8" s="55" customFormat="1" ht="29.25" customHeight="1" x14ac:dyDescent="0.25">
      <c r="A580" s="354">
        <v>1</v>
      </c>
      <c r="B580" s="131" t="e">
        <f t="shared" si="18"/>
        <v>#REF!</v>
      </c>
      <c r="C580" s="14" t="s">
        <v>256</v>
      </c>
      <c r="D580" s="13"/>
      <c r="E580" s="550">
        <v>23646</v>
      </c>
      <c r="F580" s="62"/>
      <c r="G580" s="62"/>
      <c r="H580" s="43"/>
    </row>
    <row r="581" spans="1:8" s="55" customFormat="1" ht="15.75" customHeight="1" x14ac:dyDescent="0.25">
      <c r="A581" s="354">
        <v>1</v>
      </c>
      <c r="B581" s="131" t="e">
        <f t="shared" si="18"/>
        <v>#REF!</v>
      </c>
      <c r="C581" s="19" t="s">
        <v>117</v>
      </c>
      <c r="D581" s="13"/>
      <c r="E581" s="550"/>
      <c r="F581" s="62"/>
      <c r="G581" s="62"/>
      <c r="H581" s="43"/>
    </row>
    <row r="582" spans="1:8" s="55" customFormat="1" ht="63" customHeight="1" x14ac:dyDescent="0.25">
      <c r="A582" s="354">
        <v>1</v>
      </c>
      <c r="B582" s="131" t="e">
        <f t="shared" si="18"/>
        <v>#REF!</v>
      </c>
      <c r="C582" s="21" t="s">
        <v>259</v>
      </c>
      <c r="D582" s="13"/>
      <c r="E582" s="550"/>
      <c r="F582" s="62"/>
      <c r="G582" s="62"/>
      <c r="H582" s="43"/>
    </row>
    <row r="583" spans="1:8" s="55" customFormat="1" ht="15.75" customHeight="1" x14ac:dyDescent="0.25">
      <c r="A583" s="354">
        <v>1</v>
      </c>
      <c r="B583" s="131" t="e">
        <f t="shared" si="18"/>
        <v>#REF!</v>
      </c>
      <c r="C583" s="20" t="s">
        <v>165</v>
      </c>
      <c r="D583" s="13"/>
      <c r="E583" s="508">
        <f>SUM(E584:E601)</f>
        <v>122835</v>
      </c>
      <c r="F583" s="62"/>
      <c r="G583" s="62"/>
      <c r="H583" s="43"/>
    </row>
    <row r="584" spans="1:8" s="55" customFormat="1" ht="30" customHeight="1" x14ac:dyDescent="0.25">
      <c r="A584" s="354">
        <v>1</v>
      </c>
      <c r="B584" s="131" t="e">
        <f t="shared" si="18"/>
        <v>#REF!</v>
      </c>
      <c r="C584" s="147" t="s">
        <v>124</v>
      </c>
      <c r="D584" s="13"/>
      <c r="E584" s="53">
        <v>7200</v>
      </c>
      <c r="F584" s="373"/>
      <c r="G584" s="373"/>
      <c r="H584" s="29"/>
    </row>
    <row r="585" spans="1:8" s="55" customFormat="1" ht="30" customHeight="1" x14ac:dyDescent="0.25">
      <c r="A585" s="354">
        <v>1</v>
      </c>
      <c r="B585" s="131" t="e">
        <f t="shared" si="18"/>
        <v>#REF!</v>
      </c>
      <c r="C585" s="147" t="s">
        <v>125</v>
      </c>
      <c r="D585" s="13"/>
      <c r="E585" s="53">
        <v>2000</v>
      </c>
      <c r="F585" s="373"/>
      <c r="G585" s="373"/>
      <c r="H585" s="29"/>
    </row>
    <row r="586" spans="1:8" s="55" customFormat="1" ht="15.75" customHeight="1" x14ac:dyDescent="0.25">
      <c r="A586" s="354">
        <v>1</v>
      </c>
      <c r="B586" s="131" t="e">
        <f t="shared" si="18"/>
        <v>#REF!</v>
      </c>
      <c r="C586" s="147" t="s">
        <v>173</v>
      </c>
      <c r="D586" s="13"/>
      <c r="E586" s="53">
        <v>400</v>
      </c>
      <c r="F586" s="373"/>
      <c r="G586" s="373"/>
      <c r="H586" s="29"/>
    </row>
    <row r="587" spans="1:8" s="55" customFormat="1" ht="21.75" customHeight="1" x14ac:dyDescent="0.25">
      <c r="A587" s="354">
        <v>1</v>
      </c>
      <c r="B587" s="131" t="e">
        <f t="shared" si="18"/>
        <v>#REF!</v>
      </c>
      <c r="C587" s="147" t="s">
        <v>16</v>
      </c>
      <c r="D587" s="13"/>
      <c r="E587" s="53">
        <v>2500</v>
      </c>
      <c r="F587" s="373"/>
      <c r="G587" s="373"/>
      <c r="H587" s="29"/>
    </row>
    <row r="588" spans="1:8" s="55" customFormat="1" ht="21" customHeight="1" x14ac:dyDescent="0.25">
      <c r="A588" s="354">
        <v>1</v>
      </c>
      <c r="B588" s="131" t="e">
        <f t="shared" si="18"/>
        <v>#REF!</v>
      </c>
      <c r="C588" s="147" t="s">
        <v>53</v>
      </c>
      <c r="D588" s="13"/>
      <c r="E588" s="53">
        <v>500</v>
      </c>
      <c r="F588" s="373"/>
      <c r="G588" s="373"/>
      <c r="H588" s="29"/>
    </row>
    <row r="589" spans="1:8" s="55" customFormat="1" ht="15.75" customHeight="1" x14ac:dyDescent="0.25">
      <c r="A589" s="354">
        <v>1</v>
      </c>
      <c r="B589" s="131" t="e">
        <f t="shared" si="18"/>
        <v>#REF!</v>
      </c>
      <c r="C589" s="147" t="s">
        <v>17</v>
      </c>
      <c r="D589" s="13"/>
      <c r="E589" s="53">
        <v>3350</v>
      </c>
      <c r="F589" s="373"/>
      <c r="G589" s="373"/>
      <c r="H589" s="29"/>
    </row>
    <row r="590" spans="1:8" s="55" customFormat="1" ht="31.5" customHeight="1" x14ac:dyDescent="0.25">
      <c r="A590" s="354">
        <v>1</v>
      </c>
      <c r="B590" s="131" t="e">
        <f t="shared" si="18"/>
        <v>#REF!</v>
      </c>
      <c r="C590" s="147" t="s">
        <v>139</v>
      </c>
      <c r="D590" s="13"/>
      <c r="E590" s="53">
        <v>1300</v>
      </c>
      <c r="F590" s="373"/>
      <c r="G590" s="373"/>
      <c r="H590" s="29"/>
    </row>
    <row r="591" spans="1:8" s="55" customFormat="1" ht="15.75" customHeight="1" x14ac:dyDescent="0.25">
      <c r="A591" s="354">
        <v>1</v>
      </c>
      <c r="B591" s="131" t="e">
        <f t="shared" si="18"/>
        <v>#REF!</v>
      </c>
      <c r="C591" s="147" t="s">
        <v>147</v>
      </c>
      <c r="D591" s="13"/>
      <c r="E591" s="53">
        <v>2200</v>
      </c>
      <c r="F591" s="373"/>
      <c r="G591" s="373"/>
      <c r="H591" s="29"/>
    </row>
    <row r="592" spans="1:8" s="55" customFormat="1" ht="86.25" customHeight="1" x14ac:dyDescent="0.25">
      <c r="A592" s="354">
        <v>1</v>
      </c>
      <c r="B592" s="131" t="e">
        <f t="shared" si="18"/>
        <v>#REF!</v>
      </c>
      <c r="C592" s="147" t="s">
        <v>267</v>
      </c>
      <c r="D592" s="13"/>
      <c r="E592" s="53">
        <v>220</v>
      </c>
      <c r="F592" s="373"/>
      <c r="G592" s="373"/>
      <c r="H592" s="29"/>
    </row>
    <row r="593" spans="1:8" s="55" customFormat="1" ht="15.75" customHeight="1" x14ac:dyDescent="0.25">
      <c r="A593" s="354">
        <v>1</v>
      </c>
      <c r="B593" s="131" t="e">
        <f t="shared" si="18"/>
        <v>#REF!</v>
      </c>
      <c r="C593" s="147" t="s">
        <v>142</v>
      </c>
      <c r="D593" s="13"/>
      <c r="E593" s="53">
        <v>25</v>
      </c>
      <c r="F593" s="373"/>
      <c r="G593" s="373"/>
      <c r="H593" s="29"/>
    </row>
    <row r="594" spans="1:8" s="55" customFormat="1" ht="45" customHeight="1" x14ac:dyDescent="0.25">
      <c r="A594" s="354">
        <v>1</v>
      </c>
      <c r="B594" s="131" t="e">
        <f t="shared" si="18"/>
        <v>#REF!</v>
      </c>
      <c r="C594" s="147" t="s">
        <v>292</v>
      </c>
      <c r="D594" s="13"/>
      <c r="E594" s="53">
        <v>300</v>
      </c>
      <c r="F594" s="373"/>
      <c r="G594" s="373"/>
      <c r="H594" s="29"/>
    </row>
    <row r="595" spans="1:8" s="55" customFormat="1" ht="45" customHeight="1" x14ac:dyDescent="0.25">
      <c r="A595" s="354">
        <v>1</v>
      </c>
      <c r="B595" s="131" t="e">
        <f t="shared" si="18"/>
        <v>#REF!</v>
      </c>
      <c r="C595" s="147" t="s">
        <v>283</v>
      </c>
      <c r="D595" s="13"/>
      <c r="E595" s="53">
        <v>1000</v>
      </c>
      <c r="F595" s="373"/>
      <c r="G595" s="373"/>
      <c r="H595" s="29"/>
    </row>
    <row r="596" spans="1:8" s="55" customFormat="1" ht="30" customHeight="1" x14ac:dyDescent="0.25">
      <c r="A596" s="354">
        <v>1</v>
      </c>
      <c r="B596" s="131" t="e">
        <f t="shared" si="18"/>
        <v>#REF!</v>
      </c>
      <c r="C596" s="147" t="s">
        <v>204</v>
      </c>
      <c r="D596" s="13"/>
      <c r="E596" s="53">
        <v>2500</v>
      </c>
      <c r="F596" s="373"/>
      <c r="G596" s="373"/>
      <c r="H596" s="29"/>
    </row>
    <row r="597" spans="1:8" s="55" customFormat="1" ht="15" customHeight="1" x14ac:dyDescent="0.25">
      <c r="A597" s="354">
        <v>1</v>
      </c>
      <c r="B597" s="131" t="e">
        <f t="shared" si="18"/>
        <v>#REF!</v>
      </c>
      <c r="C597" s="147" t="s">
        <v>205</v>
      </c>
      <c r="D597" s="13"/>
      <c r="E597" s="53">
        <v>1300</v>
      </c>
      <c r="F597" s="373"/>
      <c r="G597" s="373"/>
      <c r="H597" s="29"/>
    </row>
    <row r="598" spans="1:8" s="55" customFormat="1" ht="15.75" customHeight="1" x14ac:dyDescent="0.25">
      <c r="A598" s="354">
        <v>1</v>
      </c>
      <c r="B598" s="131" t="e">
        <f t="shared" si="18"/>
        <v>#REF!</v>
      </c>
      <c r="C598" s="147" t="s">
        <v>31</v>
      </c>
      <c r="D598" s="13"/>
      <c r="E598" s="53">
        <v>800</v>
      </c>
      <c r="F598" s="373"/>
      <c r="G598" s="373"/>
      <c r="H598" s="29"/>
    </row>
    <row r="599" spans="1:8" s="55" customFormat="1" ht="15.75" customHeight="1" x14ac:dyDescent="0.25">
      <c r="A599" s="354">
        <v>1</v>
      </c>
      <c r="B599" s="131" t="e">
        <f t="shared" si="18"/>
        <v>#REF!</v>
      </c>
      <c r="C599" s="147" t="s">
        <v>15</v>
      </c>
      <c r="D599" s="13"/>
      <c r="E599" s="53">
        <v>140</v>
      </c>
      <c r="F599" s="373"/>
      <c r="G599" s="373"/>
      <c r="H599" s="29"/>
    </row>
    <row r="600" spans="1:8" s="55" customFormat="1" ht="15.75" customHeight="1" x14ac:dyDescent="0.25">
      <c r="A600" s="354">
        <v>1</v>
      </c>
      <c r="B600" s="131" t="e">
        <f t="shared" si="18"/>
        <v>#REF!</v>
      </c>
      <c r="C600" s="147" t="s">
        <v>27</v>
      </c>
      <c r="D600" s="13"/>
      <c r="E600" s="53">
        <v>95000</v>
      </c>
      <c r="F600" s="373"/>
      <c r="G600" s="373"/>
      <c r="H600" s="29"/>
    </row>
    <row r="601" spans="1:8" s="55" customFormat="1" ht="15.75" customHeight="1" x14ac:dyDescent="0.25">
      <c r="A601" s="354">
        <v>1</v>
      </c>
      <c r="B601" s="131" t="e">
        <f t="shared" si="18"/>
        <v>#REF!</v>
      </c>
      <c r="C601" s="147" t="s">
        <v>119</v>
      </c>
      <c r="D601" s="13"/>
      <c r="E601" s="53">
        <v>2100</v>
      </c>
      <c r="F601" s="373"/>
      <c r="G601" s="373"/>
      <c r="H601" s="29"/>
    </row>
    <row r="602" spans="1:8" s="55" customFormat="1" ht="43.5" customHeight="1" x14ac:dyDescent="0.25">
      <c r="A602" s="354">
        <v>1</v>
      </c>
      <c r="B602" s="131" t="e">
        <f t="shared" si="18"/>
        <v>#REF!</v>
      </c>
      <c r="C602" s="21" t="s">
        <v>396</v>
      </c>
      <c r="D602" s="13"/>
      <c r="E602" s="508">
        <f>E551</f>
        <v>18965</v>
      </c>
      <c r="F602" s="373"/>
      <c r="G602" s="373"/>
      <c r="H602" s="29"/>
    </row>
    <row r="603" spans="1:8" s="55" customFormat="1" ht="15.75" customHeight="1" x14ac:dyDescent="0.25">
      <c r="A603" s="354">
        <v>1</v>
      </c>
      <c r="B603" s="131" t="e">
        <f t="shared" si="18"/>
        <v>#REF!</v>
      </c>
      <c r="C603" s="21" t="s">
        <v>195</v>
      </c>
      <c r="D603" s="13"/>
      <c r="E603" s="508">
        <f>E564+E540</f>
        <v>21561</v>
      </c>
      <c r="F603" s="373"/>
      <c r="G603" s="373"/>
      <c r="H603" s="29"/>
    </row>
    <row r="604" spans="1:8" s="55" customFormat="1" ht="29.25" customHeight="1" x14ac:dyDescent="0.25">
      <c r="A604" s="354">
        <v>1</v>
      </c>
      <c r="B604" s="131" t="e">
        <f t="shared" si="18"/>
        <v>#REF!</v>
      </c>
      <c r="C604" s="21" t="s">
        <v>196</v>
      </c>
      <c r="D604" s="13"/>
      <c r="E604" s="508">
        <f>E552</f>
        <v>30136</v>
      </c>
      <c r="F604" s="373"/>
      <c r="G604" s="373"/>
      <c r="H604" s="29"/>
    </row>
    <row r="605" spans="1:8" s="55" customFormat="1" ht="15.75" customHeight="1" x14ac:dyDescent="0.25">
      <c r="A605" s="354">
        <v>1</v>
      </c>
      <c r="B605" s="131" t="e">
        <f t="shared" ref="B605:B669" si="19">B604+1</f>
        <v>#REF!</v>
      </c>
      <c r="C605" s="21" t="s">
        <v>197</v>
      </c>
      <c r="D605" s="13"/>
      <c r="E605" s="508">
        <f>E576+E546</f>
        <v>68960</v>
      </c>
      <c r="F605" s="373"/>
      <c r="G605" s="373"/>
      <c r="H605" s="29"/>
    </row>
    <row r="606" spans="1:8" s="55" customFormat="1" ht="29.25" customHeight="1" x14ac:dyDescent="0.25">
      <c r="A606" s="354">
        <v>1</v>
      </c>
      <c r="B606" s="131" t="e">
        <f t="shared" si="19"/>
        <v>#REF!</v>
      </c>
      <c r="C606" s="21" t="s">
        <v>198</v>
      </c>
      <c r="D606" s="13"/>
      <c r="E606" s="508">
        <f>E580+E582</f>
        <v>23646</v>
      </c>
      <c r="F606" s="373"/>
      <c r="G606" s="373"/>
      <c r="H606" s="29"/>
    </row>
    <row r="607" spans="1:8" s="55" customFormat="1" ht="15.75" customHeight="1" x14ac:dyDescent="0.25">
      <c r="A607" s="354">
        <v>1</v>
      </c>
      <c r="B607" s="131" t="e">
        <f t="shared" si="19"/>
        <v>#REF!</v>
      </c>
      <c r="C607" s="22" t="s">
        <v>112</v>
      </c>
      <c r="D607" s="13"/>
      <c r="E607" s="508">
        <f>E602*2.6+E603+E604+E606+E605*2.6</f>
        <v>303948</v>
      </c>
      <c r="F607" s="373"/>
      <c r="G607" s="373"/>
      <c r="H607" s="29"/>
    </row>
    <row r="608" spans="1:8" ht="15.75" customHeight="1" x14ac:dyDescent="0.25">
      <c r="A608" s="354">
        <v>1</v>
      </c>
      <c r="B608" s="131" t="e">
        <f t="shared" si="19"/>
        <v>#REF!</v>
      </c>
      <c r="C608" s="44" t="s">
        <v>7</v>
      </c>
      <c r="D608" s="13"/>
      <c r="E608" s="53"/>
      <c r="F608" s="2"/>
      <c r="G608" s="2"/>
      <c r="H608" s="2"/>
    </row>
    <row r="609" spans="1:8" ht="15.75" customHeight="1" x14ac:dyDescent="0.25">
      <c r="A609" s="354">
        <v>1</v>
      </c>
      <c r="B609" s="131" t="e">
        <f t="shared" si="19"/>
        <v>#REF!</v>
      </c>
      <c r="C609" s="293" t="s">
        <v>71</v>
      </c>
      <c r="D609" s="13"/>
      <c r="E609" s="53"/>
      <c r="F609" s="2"/>
      <c r="G609" s="2"/>
      <c r="H609" s="2"/>
    </row>
    <row r="610" spans="1:8" ht="15.75" customHeight="1" x14ac:dyDescent="0.25">
      <c r="A610" s="354">
        <v>1</v>
      </c>
      <c r="B610" s="131" t="e">
        <f t="shared" si="19"/>
        <v>#REF!</v>
      </c>
      <c r="C610" s="539" t="s">
        <v>21</v>
      </c>
      <c r="D610" s="52">
        <v>240</v>
      </c>
      <c r="E610" s="53">
        <v>245</v>
      </c>
      <c r="F610" s="538">
        <v>4</v>
      </c>
      <c r="G610" s="2">
        <f t="shared" ref="G610:G621" si="20">ROUND(H610/D610,0)</f>
        <v>4</v>
      </c>
      <c r="H610" s="2">
        <f t="shared" ref="H610:H621" si="21">ROUND(E610*F610,0)</f>
        <v>980</v>
      </c>
    </row>
    <row r="611" spans="1:8" ht="15.75" customHeight="1" x14ac:dyDescent="0.25">
      <c r="A611" s="354">
        <v>1</v>
      </c>
      <c r="B611" s="131" t="e">
        <f t="shared" si="19"/>
        <v>#REF!</v>
      </c>
      <c r="C611" s="539" t="s">
        <v>20</v>
      </c>
      <c r="D611" s="52">
        <v>240</v>
      </c>
      <c r="E611" s="53">
        <v>600</v>
      </c>
      <c r="F611" s="538">
        <v>8</v>
      </c>
      <c r="G611" s="2">
        <f t="shared" si="20"/>
        <v>20</v>
      </c>
      <c r="H611" s="2">
        <f t="shared" si="21"/>
        <v>4800</v>
      </c>
    </row>
    <row r="612" spans="1:8" ht="15.75" customHeight="1" x14ac:dyDescent="0.25">
      <c r="A612" s="354">
        <v>1</v>
      </c>
      <c r="B612" s="131" t="e">
        <f t="shared" si="19"/>
        <v>#REF!</v>
      </c>
      <c r="C612" s="539" t="s">
        <v>55</v>
      </c>
      <c r="D612" s="52">
        <v>240</v>
      </c>
      <c r="E612" s="53">
        <v>140</v>
      </c>
      <c r="F612" s="538">
        <v>7</v>
      </c>
      <c r="G612" s="2">
        <f t="shared" si="20"/>
        <v>4</v>
      </c>
      <c r="H612" s="2">
        <f t="shared" si="21"/>
        <v>980</v>
      </c>
    </row>
    <row r="613" spans="1:8" ht="15.75" customHeight="1" x14ac:dyDescent="0.25">
      <c r="A613" s="354">
        <v>1</v>
      </c>
      <c r="B613" s="131" t="e">
        <f t="shared" si="19"/>
        <v>#REF!</v>
      </c>
      <c r="C613" s="539" t="s">
        <v>63</v>
      </c>
      <c r="D613" s="52">
        <v>240</v>
      </c>
      <c r="E613" s="53"/>
      <c r="F613" s="538">
        <v>8</v>
      </c>
      <c r="G613" s="2">
        <f t="shared" si="20"/>
        <v>0</v>
      </c>
      <c r="H613" s="2">
        <f t="shared" si="21"/>
        <v>0</v>
      </c>
    </row>
    <row r="614" spans="1:8" ht="15.75" customHeight="1" x14ac:dyDescent="0.25">
      <c r="A614" s="354">
        <v>1</v>
      </c>
      <c r="B614" s="131" t="e">
        <f t="shared" si="19"/>
        <v>#REF!</v>
      </c>
      <c r="C614" s="539" t="s">
        <v>86</v>
      </c>
      <c r="D614" s="52">
        <v>240</v>
      </c>
      <c r="E614" s="53"/>
      <c r="F614" s="538">
        <v>2</v>
      </c>
      <c r="G614" s="2">
        <f t="shared" si="20"/>
        <v>0</v>
      </c>
      <c r="H614" s="2">
        <f t="shared" si="21"/>
        <v>0</v>
      </c>
    </row>
    <row r="615" spans="1:8" ht="15.75" customHeight="1" x14ac:dyDescent="0.25">
      <c r="A615" s="354">
        <v>1</v>
      </c>
      <c r="B615" s="131" t="e">
        <f t="shared" si="19"/>
        <v>#REF!</v>
      </c>
      <c r="C615" s="539" t="s">
        <v>79</v>
      </c>
      <c r="D615" s="52">
        <v>240</v>
      </c>
      <c r="E615" s="53">
        <v>1008</v>
      </c>
      <c r="F615" s="538">
        <v>3</v>
      </c>
      <c r="G615" s="2">
        <f t="shared" si="20"/>
        <v>13</v>
      </c>
      <c r="H615" s="2">
        <f t="shared" si="21"/>
        <v>3024</v>
      </c>
    </row>
    <row r="616" spans="1:8" ht="15.75" customHeight="1" x14ac:dyDescent="0.25">
      <c r="A616" s="354">
        <v>1</v>
      </c>
      <c r="B616" s="131" t="e">
        <f t="shared" si="19"/>
        <v>#REF!</v>
      </c>
      <c r="C616" s="539" t="s">
        <v>151</v>
      </c>
      <c r="D616" s="52">
        <v>240</v>
      </c>
      <c r="E616" s="53">
        <v>80</v>
      </c>
      <c r="F616" s="538">
        <v>5</v>
      </c>
      <c r="G616" s="2">
        <f t="shared" si="20"/>
        <v>2</v>
      </c>
      <c r="H616" s="2">
        <f t="shared" si="21"/>
        <v>400</v>
      </c>
    </row>
    <row r="617" spans="1:8" ht="15.75" customHeight="1" x14ac:dyDescent="0.25">
      <c r="A617" s="354">
        <v>1</v>
      </c>
      <c r="B617" s="131" t="e">
        <f t="shared" si="19"/>
        <v>#REF!</v>
      </c>
      <c r="C617" s="539" t="s">
        <v>29</v>
      </c>
      <c r="D617" s="52">
        <v>240</v>
      </c>
      <c r="E617" s="53">
        <v>65</v>
      </c>
      <c r="F617" s="538">
        <v>4</v>
      </c>
      <c r="G617" s="2">
        <f t="shared" si="20"/>
        <v>1</v>
      </c>
      <c r="H617" s="2">
        <f t="shared" si="21"/>
        <v>260</v>
      </c>
    </row>
    <row r="618" spans="1:8" ht="15.75" customHeight="1" x14ac:dyDescent="0.25">
      <c r="A618" s="354">
        <v>1</v>
      </c>
      <c r="B618" s="131" t="e">
        <f t="shared" si="19"/>
        <v>#REF!</v>
      </c>
      <c r="C618" s="539" t="s">
        <v>19</v>
      </c>
      <c r="D618" s="52">
        <v>240</v>
      </c>
      <c r="E618" s="53">
        <v>52</v>
      </c>
      <c r="F618" s="538">
        <v>8</v>
      </c>
      <c r="G618" s="2">
        <f t="shared" si="20"/>
        <v>2</v>
      </c>
      <c r="H618" s="2">
        <f t="shared" si="21"/>
        <v>416</v>
      </c>
    </row>
    <row r="619" spans="1:8" ht="15.75" customHeight="1" x14ac:dyDescent="0.25">
      <c r="A619" s="354">
        <v>1</v>
      </c>
      <c r="B619" s="131" t="e">
        <f t="shared" si="19"/>
        <v>#REF!</v>
      </c>
      <c r="C619" s="539" t="s">
        <v>11</v>
      </c>
      <c r="D619" s="52">
        <v>240</v>
      </c>
      <c r="E619" s="53">
        <v>110</v>
      </c>
      <c r="F619" s="538">
        <v>4</v>
      </c>
      <c r="G619" s="2">
        <f t="shared" si="20"/>
        <v>2</v>
      </c>
      <c r="H619" s="2">
        <f t="shared" si="21"/>
        <v>440</v>
      </c>
    </row>
    <row r="620" spans="1:8" ht="15.75" customHeight="1" x14ac:dyDescent="0.25">
      <c r="A620" s="354">
        <v>1</v>
      </c>
      <c r="B620" s="131" t="e">
        <f t="shared" si="19"/>
        <v>#REF!</v>
      </c>
      <c r="C620" s="539" t="s">
        <v>152</v>
      </c>
      <c r="D620" s="52">
        <v>240</v>
      </c>
      <c r="E620" s="53">
        <v>1264</v>
      </c>
      <c r="F620" s="538">
        <v>4</v>
      </c>
      <c r="G620" s="2">
        <f t="shared" si="20"/>
        <v>21</v>
      </c>
      <c r="H620" s="2">
        <f t="shared" si="21"/>
        <v>5056</v>
      </c>
    </row>
    <row r="621" spans="1:8" ht="15.75" customHeight="1" x14ac:dyDescent="0.25">
      <c r="A621" s="354">
        <v>1</v>
      </c>
      <c r="B621" s="131" t="e">
        <f t="shared" si="19"/>
        <v>#REF!</v>
      </c>
      <c r="C621" s="539" t="s">
        <v>33</v>
      </c>
      <c r="D621" s="52">
        <v>240</v>
      </c>
      <c r="E621" s="53">
        <v>250</v>
      </c>
      <c r="F621" s="538">
        <v>8</v>
      </c>
      <c r="G621" s="2">
        <f t="shared" si="20"/>
        <v>8</v>
      </c>
      <c r="H621" s="2">
        <f t="shared" si="21"/>
        <v>2000</v>
      </c>
    </row>
    <row r="622" spans="1:8" ht="15.75" customHeight="1" x14ac:dyDescent="0.25">
      <c r="A622" s="354">
        <v>1</v>
      </c>
      <c r="B622" s="131" t="e">
        <f t="shared" si="19"/>
        <v>#REF!</v>
      </c>
      <c r="C622" s="547" t="s">
        <v>94</v>
      </c>
      <c r="D622" s="52"/>
      <c r="E622" s="551">
        <f>SUM(E610:E621)</f>
        <v>3814</v>
      </c>
      <c r="F622" s="158">
        <f>H622/E622</f>
        <v>4.8127949659150495</v>
      </c>
      <c r="G622" s="549">
        <f>SUM(G610:G621)</f>
        <v>77</v>
      </c>
      <c r="H622" s="549">
        <f>SUM(H610:H621)</f>
        <v>18356</v>
      </c>
    </row>
    <row r="623" spans="1:8" ht="15.75" customHeight="1" x14ac:dyDescent="0.25">
      <c r="A623" s="354">
        <v>1</v>
      </c>
      <c r="B623" s="131" t="e">
        <f t="shared" si="19"/>
        <v>#REF!</v>
      </c>
      <c r="C623" s="548" t="s">
        <v>88</v>
      </c>
      <c r="D623" s="52"/>
      <c r="E623" s="518">
        <f>E622</f>
        <v>3814</v>
      </c>
      <c r="F623" s="158">
        <f>H623/E623</f>
        <v>4.8127949659150495</v>
      </c>
      <c r="G623" s="289">
        <f>G622</f>
        <v>77</v>
      </c>
      <c r="H623" s="289">
        <f>H622</f>
        <v>18356</v>
      </c>
    </row>
    <row r="624" spans="1:8" ht="16.5" customHeight="1" thickBot="1" x14ac:dyDescent="0.3">
      <c r="A624" s="354">
        <v>1</v>
      </c>
      <c r="B624" s="131" t="e">
        <f t="shared" si="19"/>
        <v>#REF!</v>
      </c>
      <c r="C624" s="552" t="s">
        <v>213</v>
      </c>
      <c r="D624" s="510"/>
      <c r="E624" s="511"/>
      <c r="F624" s="511"/>
      <c r="G624" s="511"/>
      <c r="H624" s="511"/>
    </row>
    <row r="625" spans="1:8" ht="15.75" hidden="1" customHeight="1" x14ac:dyDescent="0.25">
      <c r="A625" s="354">
        <v>1</v>
      </c>
      <c r="B625" s="131" t="e">
        <f t="shared" si="19"/>
        <v>#REF!</v>
      </c>
      <c r="C625" s="535"/>
      <c r="D625" s="365"/>
      <c r="E625" s="493"/>
      <c r="F625" s="494"/>
      <c r="G625" s="494"/>
      <c r="H625" s="494"/>
    </row>
    <row r="626" spans="1:8" ht="29.25" hidden="1" customHeight="1" x14ac:dyDescent="0.25">
      <c r="A626" s="354">
        <v>1</v>
      </c>
      <c r="B626" s="131" t="e">
        <f t="shared" si="19"/>
        <v>#REF!</v>
      </c>
      <c r="C626" s="686" t="s">
        <v>357</v>
      </c>
      <c r="D626" s="63"/>
      <c r="E626" s="53"/>
      <c r="F626" s="2"/>
      <c r="G626" s="2"/>
      <c r="H626" s="2"/>
    </row>
    <row r="627" spans="1:8" s="55" customFormat="1" ht="44.25" hidden="1" customHeight="1" x14ac:dyDescent="0.25">
      <c r="A627" s="354">
        <v>1</v>
      </c>
      <c r="B627" s="131" t="e">
        <f t="shared" si="19"/>
        <v>#REF!</v>
      </c>
      <c r="C627" s="128" t="s">
        <v>250</v>
      </c>
      <c r="D627" s="12"/>
      <c r="E627" s="512"/>
      <c r="F627" s="54"/>
      <c r="G627" s="54"/>
      <c r="H627" s="54"/>
    </row>
    <row r="628" spans="1:8" s="55" customFormat="1" ht="15.75" hidden="1" customHeight="1" x14ac:dyDescent="0.25">
      <c r="A628" s="354">
        <v>1</v>
      </c>
      <c r="B628" s="131" t="e">
        <f t="shared" si="19"/>
        <v>#REF!</v>
      </c>
      <c r="C628" s="14" t="s">
        <v>192</v>
      </c>
      <c r="D628" s="12"/>
      <c r="E628" s="512">
        <f>E630+E632+E633+E631</f>
        <v>24516</v>
      </c>
      <c r="F628" s="54"/>
      <c r="G628" s="54"/>
      <c r="H628" s="54"/>
    </row>
    <row r="629" spans="1:8" s="55" customFormat="1" ht="15.75" hidden="1" customHeight="1" x14ac:dyDescent="0.25">
      <c r="A629" s="354">
        <v>1</v>
      </c>
      <c r="B629" s="131" t="e">
        <f t="shared" si="19"/>
        <v>#REF!</v>
      </c>
      <c r="C629" s="18" t="s">
        <v>116</v>
      </c>
      <c r="D629" s="12"/>
      <c r="E629" s="512"/>
      <c r="F629" s="54"/>
      <c r="G629" s="54"/>
      <c r="H629" s="54"/>
    </row>
    <row r="630" spans="1:8" s="55" customFormat="1" ht="30" hidden="1" customHeight="1" x14ac:dyDescent="0.25">
      <c r="A630" s="354">
        <v>1</v>
      </c>
      <c r="B630" s="131" t="e">
        <f t="shared" si="19"/>
        <v>#REF!</v>
      </c>
      <c r="C630" s="15" t="s">
        <v>397</v>
      </c>
      <c r="D630" s="12"/>
      <c r="E630" s="56">
        <v>4516</v>
      </c>
      <c r="F630" s="54"/>
      <c r="G630" s="54"/>
      <c r="H630" s="54"/>
    </row>
    <row r="631" spans="1:8" s="55" customFormat="1" ht="45" hidden="1" customHeight="1" x14ac:dyDescent="0.25">
      <c r="A631" s="354">
        <v>1</v>
      </c>
      <c r="B631" s="131" t="e">
        <f t="shared" si="19"/>
        <v>#REF!</v>
      </c>
      <c r="C631" s="15" t="s">
        <v>398</v>
      </c>
      <c r="D631" s="12"/>
      <c r="E631" s="56">
        <v>10000</v>
      </c>
      <c r="F631" s="54"/>
      <c r="G631" s="54"/>
      <c r="H631" s="54"/>
    </row>
    <row r="632" spans="1:8" s="55" customFormat="1" ht="45" hidden="1" customHeight="1" x14ac:dyDescent="0.25">
      <c r="A632" s="354">
        <v>1</v>
      </c>
      <c r="B632" s="131" t="e">
        <f t="shared" si="19"/>
        <v>#REF!</v>
      </c>
      <c r="C632" s="15" t="s">
        <v>399</v>
      </c>
      <c r="D632" s="12"/>
      <c r="E632" s="56">
        <v>7000</v>
      </c>
      <c r="F632" s="54"/>
      <c r="G632" s="54"/>
      <c r="H632" s="54"/>
    </row>
    <row r="633" spans="1:8" s="55" customFormat="1" ht="75" hidden="1" customHeight="1" x14ac:dyDescent="0.25">
      <c r="A633" s="354">
        <v>1</v>
      </c>
      <c r="B633" s="131" t="e">
        <f t="shared" si="19"/>
        <v>#REF!</v>
      </c>
      <c r="C633" s="15" t="s">
        <v>400</v>
      </c>
      <c r="D633" s="12"/>
      <c r="E633" s="56">
        <v>3000</v>
      </c>
      <c r="F633" s="54"/>
      <c r="G633" s="54"/>
      <c r="H633" s="54"/>
    </row>
    <row r="634" spans="1:8" s="55" customFormat="1" ht="15.75" hidden="1" customHeight="1" x14ac:dyDescent="0.25">
      <c r="A634" s="354">
        <v>1</v>
      </c>
      <c r="B634" s="131" t="e">
        <f t="shared" si="19"/>
        <v>#REF!</v>
      </c>
      <c r="C634" s="57" t="s">
        <v>90</v>
      </c>
      <c r="D634" s="12"/>
      <c r="E634" s="512">
        <f>E635+E636+E637</f>
        <v>41721</v>
      </c>
      <c r="F634" s="54"/>
      <c r="G634" s="54"/>
      <c r="H634" s="54"/>
    </row>
    <row r="635" spans="1:8" s="55" customFormat="1" ht="15.75" hidden="1" customHeight="1" x14ac:dyDescent="0.25">
      <c r="A635" s="354">
        <v>1</v>
      </c>
      <c r="B635" s="131" t="e">
        <f t="shared" si="19"/>
        <v>#REF!</v>
      </c>
      <c r="C635" s="15" t="s">
        <v>145</v>
      </c>
      <c r="D635" s="12"/>
      <c r="E635" s="56">
        <v>37202</v>
      </c>
      <c r="F635" s="54"/>
      <c r="G635" s="54"/>
      <c r="H635" s="54"/>
    </row>
    <row r="636" spans="1:8" s="55" customFormat="1" ht="45" hidden="1" x14ac:dyDescent="0.25">
      <c r="A636" s="354">
        <v>1</v>
      </c>
      <c r="B636" s="131" t="e">
        <f t="shared" si="19"/>
        <v>#REF!</v>
      </c>
      <c r="C636" s="15" t="s">
        <v>414</v>
      </c>
      <c r="D636" s="12"/>
      <c r="E636" s="56">
        <v>3442</v>
      </c>
      <c r="F636" s="54"/>
      <c r="G636" s="54"/>
      <c r="H636" s="54"/>
    </row>
    <row r="637" spans="1:8" s="55" customFormat="1" ht="60" hidden="1" x14ac:dyDescent="0.25">
      <c r="A637" s="354"/>
      <c r="B637" s="131"/>
      <c r="C637" s="15" t="s">
        <v>421</v>
      </c>
      <c r="D637" s="12"/>
      <c r="E637" s="56">
        <v>1077</v>
      </c>
      <c r="F637" s="54"/>
      <c r="G637" s="54"/>
      <c r="H637" s="54"/>
    </row>
    <row r="638" spans="1:8" s="55" customFormat="1" ht="15.75" hidden="1" customHeight="1" x14ac:dyDescent="0.25">
      <c r="A638" s="354">
        <v>1</v>
      </c>
      <c r="B638" s="131" t="e">
        <f>B636+1</f>
        <v>#REF!</v>
      </c>
      <c r="C638" s="33" t="s">
        <v>98</v>
      </c>
      <c r="D638" s="12"/>
      <c r="E638" s="56"/>
      <c r="F638" s="54"/>
      <c r="G638" s="54"/>
      <c r="H638" s="54"/>
    </row>
    <row r="639" spans="1:8" s="55" customFormat="1" ht="45" hidden="1" customHeight="1" x14ac:dyDescent="0.25">
      <c r="A639" s="354">
        <v>1</v>
      </c>
      <c r="B639" s="131" t="e">
        <f t="shared" si="19"/>
        <v>#REF!</v>
      </c>
      <c r="C639" s="15" t="s">
        <v>420</v>
      </c>
      <c r="D639" s="12"/>
      <c r="E639" s="56">
        <v>6527</v>
      </c>
      <c r="F639" s="54"/>
      <c r="G639" s="54"/>
      <c r="H639" s="54"/>
    </row>
    <row r="640" spans="1:8" s="55" customFormat="1" ht="47.25" hidden="1" customHeight="1" x14ac:dyDescent="0.25">
      <c r="A640" s="354">
        <v>1</v>
      </c>
      <c r="B640" s="131" t="e">
        <f t="shared" si="19"/>
        <v>#REF!</v>
      </c>
      <c r="C640" s="58" t="s">
        <v>333</v>
      </c>
      <c r="D640" s="12"/>
      <c r="E640" s="512">
        <f>E641+E648</f>
        <v>19240</v>
      </c>
      <c r="F640" s="54"/>
      <c r="G640" s="54"/>
      <c r="H640" s="54"/>
    </row>
    <row r="641" spans="1:8" s="55" customFormat="1" ht="17.25" hidden="1" customHeight="1" x14ac:dyDescent="0.25">
      <c r="A641" s="354">
        <v>1</v>
      </c>
      <c r="B641" s="131" t="e">
        <f t="shared" si="19"/>
        <v>#REF!</v>
      </c>
      <c r="C641" s="16" t="s">
        <v>193</v>
      </c>
      <c r="D641" s="12"/>
      <c r="E641" s="512">
        <f>SUM(E642:E647)-E645</f>
        <v>11134</v>
      </c>
      <c r="F641" s="54"/>
      <c r="G641" s="54"/>
      <c r="H641" s="54"/>
    </row>
    <row r="642" spans="1:8" s="55" customFormat="1" ht="37.5" hidden="1" customHeight="1" x14ac:dyDescent="0.25">
      <c r="A642" s="354">
        <v>1</v>
      </c>
      <c r="B642" s="131" t="e">
        <f t="shared" si="19"/>
        <v>#REF!</v>
      </c>
      <c r="C642" s="15" t="s">
        <v>334</v>
      </c>
      <c r="D642" s="12"/>
      <c r="E642" s="56">
        <v>8653</v>
      </c>
      <c r="F642" s="54"/>
      <c r="G642" s="54"/>
      <c r="H642" s="54"/>
    </row>
    <row r="643" spans="1:8" s="55" customFormat="1" ht="45" hidden="1" customHeight="1" x14ac:dyDescent="0.25">
      <c r="A643" s="354">
        <v>1</v>
      </c>
      <c r="B643" s="131" t="e">
        <f t="shared" si="19"/>
        <v>#REF!</v>
      </c>
      <c r="C643" s="15" t="s">
        <v>335</v>
      </c>
      <c r="D643" s="12"/>
      <c r="E643" s="56"/>
      <c r="F643" s="54"/>
      <c r="G643" s="54"/>
      <c r="H643" s="54"/>
    </row>
    <row r="644" spans="1:8" s="55" customFormat="1" ht="30" hidden="1" customHeight="1" x14ac:dyDescent="0.25">
      <c r="A644" s="354">
        <v>1</v>
      </c>
      <c r="B644" s="131" t="e">
        <f t="shared" si="19"/>
        <v>#REF!</v>
      </c>
      <c r="C644" s="15" t="s">
        <v>380</v>
      </c>
      <c r="D644" s="12"/>
      <c r="E644" s="56">
        <v>2377</v>
      </c>
      <c r="F644" s="54"/>
      <c r="G644" s="54"/>
      <c r="H644" s="54"/>
    </row>
    <row r="645" spans="1:8" s="55" customFormat="1" ht="30" hidden="1" customHeight="1" x14ac:dyDescent="0.25">
      <c r="A645" s="354">
        <v>1</v>
      </c>
      <c r="B645" s="131" t="e">
        <f t="shared" si="19"/>
        <v>#REF!</v>
      </c>
      <c r="C645" s="15" t="s">
        <v>381</v>
      </c>
      <c r="D645" s="12"/>
      <c r="E645" s="56"/>
      <c r="F645" s="54"/>
      <c r="G645" s="54"/>
      <c r="H645" s="54"/>
    </row>
    <row r="646" spans="1:8" s="55" customFormat="1" ht="30" hidden="1" customHeight="1" x14ac:dyDescent="0.25">
      <c r="A646" s="354">
        <v>1</v>
      </c>
      <c r="B646" s="131" t="e">
        <f t="shared" si="19"/>
        <v>#REF!</v>
      </c>
      <c r="C646" s="15" t="s">
        <v>382</v>
      </c>
      <c r="D646" s="12"/>
      <c r="E646" s="56">
        <v>60</v>
      </c>
      <c r="F646" s="54"/>
      <c r="G646" s="54"/>
      <c r="H646" s="54"/>
    </row>
    <row r="647" spans="1:8" s="55" customFormat="1" ht="30" hidden="1" customHeight="1" x14ac:dyDescent="0.25">
      <c r="A647" s="354">
        <v>1</v>
      </c>
      <c r="B647" s="131" t="e">
        <f t="shared" si="19"/>
        <v>#REF!</v>
      </c>
      <c r="C647" s="15" t="s">
        <v>383</v>
      </c>
      <c r="D647" s="12"/>
      <c r="E647" s="56">
        <v>44</v>
      </c>
      <c r="F647" s="54"/>
      <c r="G647" s="54"/>
      <c r="H647" s="54"/>
    </row>
    <row r="648" spans="1:8" s="55" customFormat="1" ht="30" hidden="1" customHeight="1" x14ac:dyDescent="0.25">
      <c r="A648" s="354">
        <v>1</v>
      </c>
      <c r="B648" s="131" t="e">
        <f t="shared" si="19"/>
        <v>#REF!</v>
      </c>
      <c r="C648" s="16" t="s">
        <v>194</v>
      </c>
      <c r="D648" s="12"/>
      <c r="E648" s="512">
        <f>SUM(E649:E651)</f>
        <v>8106</v>
      </c>
      <c r="F648" s="54"/>
      <c r="G648" s="54"/>
      <c r="H648" s="54"/>
    </row>
    <row r="649" spans="1:8" s="55" customFormat="1" ht="30" hidden="1" customHeight="1" x14ac:dyDescent="0.25">
      <c r="A649" s="354">
        <v>1</v>
      </c>
      <c r="B649" s="131" t="e">
        <f t="shared" si="19"/>
        <v>#REF!</v>
      </c>
      <c r="C649" s="15" t="s">
        <v>384</v>
      </c>
      <c r="D649" s="59"/>
      <c r="E649" s="60">
        <v>2276</v>
      </c>
      <c r="F649" s="54"/>
      <c r="G649" s="54"/>
      <c r="H649" s="54"/>
    </row>
    <row r="650" spans="1:8" s="55" customFormat="1" ht="45" hidden="1" customHeight="1" x14ac:dyDescent="0.25">
      <c r="A650" s="354">
        <v>1</v>
      </c>
      <c r="B650" s="131" t="e">
        <f t="shared" si="19"/>
        <v>#REF!</v>
      </c>
      <c r="C650" s="15" t="s">
        <v>385</v>
      </c>
      <c r="D650" s="59"/>
      <c r="E650" s="60">
        <v>4000</v>
      </c>
      <c r="F650" s="54"/>
      <c r="G650" s="54"/>
      <c r="H650" s="54"/>
    </row>
    <row r="651" spans="1:8" s="55" customFormat="1" ht="45" hidden="1" customHeight="1" x14ac:dyDescent="0.25">
      <c r="A651" s="354">
        <v>1</v>
      </c>
      <c r="B651" s="131" t="e">
        <f t="shared" si="19"/>
        <v>#REF!</v>
      </c>
      <c r="C651" s="15" t="s">
        <v>386</v>
      </c>
      <c r="D651" s="59"/>
      <c r="E651" s="53">
        <v>1830</v>
      </c>
      <c r="F651" s="54"/>
      <c r="G651" s="54"/>
      <c r="H651" s="54"/>
    </row>
    <row r="652" spans="1:8" s="55" customFormat="1" ht="15.75" hidden="1" customHeight="1" x14ac:dyDescent="0.25">
      <c r="A652" s="354">
        <v>1</v>
      </c>
      <c r="B652" s="131" t="e">
        <f t="shared" si="19"/>
        <v>#REF!</v>
      </c>
      <c r="C652" s="12" t="s">
        <v>98</v>
      </c>
      <c r="D652" s="59"/>
      <c r="E652" s="53"/>
      <c r="F652" s="54"/>
      <c r="G652" s="54"/>
      <c r="H652" s="54"/>
    </row>
    <row r="653" spans="1:8" s="55" customFormat="1" ht="15.75" hidden="1" customHeight="1" x14ac:dyDescent="0.25">
      <c r="A653" s="354">
        <v>1</v>
      </c>
      <c r="B653" s="131" t="e">
        <f t="shared" si="19"/>
        <v>#REF!</v>
      </c>
      <c r="C653" s="14" t="s">
        <v>251</v>
      </c>
      <c r="D653" s="59"/>
      <c r="E653" s="508">
        <f>SUM(E654,E655,E659,E660,E661,)+E662</f>
        <v>2848</v>
      </c>
      <c r="F653" s="54"/>
      <c r="G653" s="54"/>
      <c r="H653" s="54"/>
    </row>
    <row r="654" spans="1:8" s="55" customFormat="1" ht="15.75" hidden="1" customHeight="1" x14ac:dyDescent="0.25">
      <c r="A654" s="354">
        <v>1</v>
      </c>
      <c r="B654" s="131" t="e">
        <f t="shared" si="19"/>
        <v>#REF!</v>
      </c>
      <c r="C654" s="15" t="s">
        <v>252</v>
      </c>
      <c r="D654" s="59"/>
      <c r="E654" s="53"/>
      <c r="F654" s="54"/>
      <c r="G654" s="54"/>
      <c r="H654" s="54"/>
    </row>
    <row r="655" spans="1:8" s="55" customFormat="1" ht="30" hidden="1" customHeight="1" x14ac:dyDescent="0.25">
      <c r="A655" s="354">
        <v>1</v>
      </c>
      <c r="B655" s="131" t="e">
        <f t="shared" si="19"/>
        <v>#REF!</v>
      </c>
      <c r="C655" s="16" t="s">
        <v>388</v>
      </c>
      <c r="D655" s="59"/>
      <c r="E655" s="502">
        <f>E656+E657/4</f>
        <v>0</v>
      </c>
      <c r="F655" s="54"/>
      <c r="G655" s="54"/>
      <c r="H655" s="54"/>
    </row>
    <row r="656" spans="1:8" s="145" customFormat="1" ht="15.75" hidden="1" customHeight="1" x14ac:dyDescent="0.25">
      <c r="A656" s="354">
        <v>1</v>
      </c>
      <c r="B656" s="131" t="e">
        <f t="shared" si="19"/>
        <v>#REF!</v>
      </c>
      <c r="C656" s="15" t="s">
        <v>389</v>
      </c>
      <c r="D656" s="13"/>
      <c r="E656" s="17"/>
      <c r="F656" s="10"/>
      <c r="G656" s="10"/>
      <c r="H656" s="10"/>
    </row>
    <row r="657" spans="1:8" ht="30" hidden="1" customHeight="1" x14ac:dyDescent="0.25">
      <c r="A657" s="354">
        <v>1</v>
      </c>
      <c r="B657" s="131" t="e">
        <f t="shared" si="19"/>
        <v>#REF!</v>
      </c>
      <c r="C657" s="15" t="s">
        <v>390</v>
      </c>
      <c r="D657" s="13"/>
      <c r="E657" s="53"/>
      <c r="F657" s="2"/>
      <c r="G657" s="2"/>
      <c r="H657" s="2"/>
    </row>
    <row r="658" spans="1:8" ht="45" hidden="1" customHeight="1" x14ac:dyDescent="0.25">
      <c r="A658" s="354">
        <v>1</v>
      </c>
      <c r="B658" s="131" t="e">
        <f t="shared" si="19"/>
        <v>#REF!</v>
      </c>
      <c r="C658" s="15" t="s">
        <v>391</v>
      </c>
      <c r="D658" s="41"/>
      <c r="E658" s="53"/>
      <c r="F658" s="2"/>
      <c r="G658" s="2"/>
      <c r="H658" s="2"/>
    </row>
    <row r="659" spans="1:8" s="55" customFormat="1" ht="45" hidden="1" customHeight="1" x14ac:dyDescent="0.25">
      <c r="A659" s="354">
        <v>1</v>
      </c>
      <c r="B659" s="131" t="e">
        <f t="shared" si="19"/>
        <v>#REF!</v>
      </c>
      <c r="C659" s="15" t="s">
        <v>392</v>
      </c>
      <c r="D659" s="61"/>
      <c r="E659" s="513"/>
      <c r="F659" s="62"/>
      <c r="G659" s="62"/>
      <c r="H659" s="43"/>
    </row>
    <row r="660" spans="1:8" s="55" customFormat="1" ht="45" hidden="1" customHeight="1" x14ac:dyDescent="0.25">
      <c r="A660" s="354">
        <v>1</v>
      </c>
      <c r="B660" s="131" t="e">
        <f t="shared" si="19"/>
        <v>#REF!</v>
      </c>
      <c r="C660" s="18" t="s">
        <v>393</v>
      </c>
      <c r="D660" s="13"/>
      <c r="E660" s="53"/>
      <c r="F660" s="62"/>
      <c r="G660" s="62"/>
      <c r="H660" s="43"/>
    </row>
    <row r="661" spans="1:8" s="55" customFormat="1" ht="75" hidden="1" customHeight="1" x14ac:dyDescent="0.25">
      <c r="A661" s="354">
        <v>1</v>
      </c>
      <c r="B661" s="131" t="e">
        <f t="shared" si="19"/>
        <v>#REF!</v>
      </c>
      <c r="C661" s="18" t="s">
        <v>394</v>
      </c>
      <c r="D661" s="13"/>
      <c r="E661" s="53">
        <v>252</v>
      </c>
      <c r="F661" s="62"/>
      <c r="G661" s="62"/>
      <c r="H661" s="43"/>
    </row>
    <row r="662" spans="1:8" s="55" customFormat="1" ht="30" hidden="1" customHeight="1" x14ac:dyDescent="0.25">
      <c r="A662" s="354">
        <v>1</v>
      </c>
      <c r="B662" s="131" t="e">
        <f t="shared" si="19"/>
        <v>#REF!</v>
      </c>
      <c r="C662" s="15" t="s">
        <v>395</v>
      </c>
      <c r="D662" s="13"/>
      <c r="E662" s="53">
        <v>2596</v>
      </c>
      <c r="F662" s="62"/>
      <c r="G662" s="62"/>
      <c r="H662" s="43"/>
    </row>
    <row r="663" spans="1:8" s="55" customFormat="1" ht="15.75" hidden="1" customHeight="1" x14ac:dyDescent="0.25">
      <c r="A663" s="354">
        <v>1</v>
      </c>
      <c r="B663" s="131" t="e">
        <f t="shared" si="19"/>
        <v>#REF!</v>
      </c>
      <c r="C663" s="14" t="s">
        <v>253</v>
      </c>
      <c r="D663" s="13"/>
      <c r="E663" s="53"/>
      <c r="F663" s="62"/>
      <c r="G663" s="62"/>
      <c r="H663" s="43"/>
    </row>
    <row r="664" spans="1:8" s="55" customFormat="1" ht="15.75" hidden="1" customHeight="1" x14ac:dyDescent="0.25">
      <c r="A664" s="354">
        <v>1</v>
      </c>
      <c r="B664" s="131" t="e">
        <f t="shared" si="19"/>
        <v>#REF!</v>
      </c>
      <c r="C664" s="14" t="s">
        <v>254</v>
      </c>
      <c r="D664" s="13"/>
      <c r="E664" s="53"/>
      <c r="F664" s="62"/>
      <c r="G664" s="62"/>
      <c r="H664" s="43"/>
    </row>
    <row r="665" spans="1:8" s="55" customFormat="1" ht="15.75" hidden="1" customHeight="1" x14ac:dyDescent="0.25">
      <c r="A665" s="354">
        <v>1</v>
      </c>
      <c r="B665" s="131" t="e">
        <f t="shared" si="19"/>
        <v>#REF!</v>
      </c>
      <c r="C665" s="15" t="s">
        <v>255</v>
      </c>
      <c r="D665" s="13"/>
      <c r="E665" s="53"/>
      <c r="F665" s="62"/>
      <c r="G665" s="62"/>
      <c r="H665" s="43"/>
    </row>
    <row r="666" spans="1:8" s="55" customFormat="1" ht="15.75" hidden="1" customHeight="1" x14ac:dyDescent="0.25">
      <c r="A666" s="354">
        <v>1</v>
      </c>
      <c r="B666" s="131" t="e">
        <f t="shared" si="19"/>
        <v>#REF!</v>
      </c>
      <c r="C666" s="42" t="s">
        <v>261</v>
      </c>
      <c r="D666" s="13"/>
      <c r="E666" s="60"/>
      <c r="F666" s="62"/>
      <c r="G666" s="62"/>
      <c r="H666" s="43"/>
    </row>
    <row r="667" spans="1:8" s="55" customFormat="1" ht="29.25" hidden="1" customHeight="1" x14ac:dyDescent="0.25">
      <c r="A667" s="354">
        <v>1</v>
      </c>
      <c r="B667" s="131" t="e">
        <f t="shared" si="19"/>
        <v>#REF!</v>
      </c>
      <c r="C667" s="14" t="s">
        <v>256</v>
      </c>
      <c r="D667" s="13"/>
      <c r="E667" s="60">
        <v>8052</v>
      </c>
      <c r="F667" s="62"/>
      <c r="G667" s="62"/>
      <c r="H667" s="43"/>
    </row>
    <row r="668" spans="1:8" s="55" customFormat="1" ht="15.75" hidden="1" customHeight="1" x14ac:dyDescent="0.25">
      <c r="A668" s="354">
        <v>1</v>
      </c>
      <c r="B668" s="131" t="e">
        <f t="shared" si="19"/>
        <v>#REF!</v>
      </c>
      <c r="C668" s="19" t="s">
        <v>117</v>
      </c>
      <c r="D668" s="13"/>
      <c r="E668" s="60"/>
      <c r="F668" s="62"/>
      <c r="G668" s="62"/>
      <c r="H668" s="553"/>
    </row>
    <row r="669" spans="1:8" s="55" customFormat="1" ht="59.25" hidden="1" customHeight="1" x14ac:dyDescent="0.25">
      <c r="A669" s="354">
        <v>1</v>
      </c>
      <c r="B669" s="131" t="e">
        <f t="shared" si="19"/>
        <v>#REF!</v>
      </c>
      <c r="C669" s="21" t="s">
        <v>259</v>
      </c>
      <c r="D669" s="13"/>
      <c r="E669" s="60"/>
      <c r="F669" s="62"/>
      <c r="G669" s="62"/>
      <c r="H669" s="43"/>
    </row>
    <row r="670" spans="1:8" s="55" customFormat="1" ht="15.75" hidden="1" customHeight="1" x14ac:dyDescent="0.25">
      <c r="A670" s="354">
        <v>1</v>
      </c>
      <c r="B670" s="131" t="e">
        <f t="shared" ref="B670:B734" si="22">B669+1</f>
        <v>#REF!</v>
      </c>
      <c r="C670" s="20" t="s">
        <v>165</v>
      </c>
      <c r="D670" s="13"/>
      <c r="E670" s="513">
        <f>E671+E672+E673</f>
        <v>3890</v>
      </c>
      <c r="F670" s="62"/>
      <c r="G670" s="62"/>
      <c r="H670" s="43"/>
    </row>
    <row r="671" spans="1:8" s="55" customFormat="1" ht="18" hidden="1" customHeight="1" x14ac:dyDescent="0.25">
      <c r="A671" s="354">
        <v>1</v>
      </c>
      <c r="B671" s="131" t="e">
        <f t="shared" si="22"/>
        <v>#REF!</v>
      </c>
      <c r="C671" s="212" t="s">
        <v>205</v>
      </c>
      <c r="D671" s="13"/>
      <c r="E671" s="68">
        <v>600</v>
      </c>
      <c r="F671" s="62"/>
      <c r="G671" s="62"/>
      <c r="H671" s="43"/>
    </row>
    <row r="672" spans="1:8" s="55" customFormat="1" ht="30" hidden="1" customHeight="1" x14ac:dyDescent="0.25">
      <c r="A672" s="354">
        <v>1</v>
      </c>
      <c r="B672" s="131" t="e">
        <f t="shared" si="22"/>
        <v>#REF!</v>
      </c>
      <c r="C672" s="212" t="s">
        <v>204</v>
      </c>
      <c r="D672" s="13"/>
      <c r="E672" s="53">
        <v>2400</v>
      </c>
      <c r="F672" s="62"/>
      <c r="G672" s="62"/>
      <c r="H672" s="43"/>
    </row>
    <row r="673" spans="1:8" s="55" customFormat="1" ht="15.75" hidden="1" customHeight="1" x14ac:dyDescent="0.25">
      <c r="A673" s="354">
        <v>1</v>
      </c>
      <c r="B673" s="131" t="e">
        <f t="shared" si="22"/>
        <v>#REF!</v>
      </c>
      <c r="C673" s="212" t="s">
        <v>119</v>
      </c>
      <c r="D673" s="13"/>
      <c r="E673" s="53">
        <v>890</v>
      </c>
      <c r="F673" s="62"/>
      <c r="G673" s="62"/>
      <c r="H673" s="43"/>
    </row>
    <row r="674" spans="1:8" s="55" customFormat="1" ht="43.5" hidden="1" customHeight="1" x14ac:dyDescent="0.25">
      <c r="A674" s="354">
        <v>1</v>
      </c>
      <c r="B674" s="131" t="e">
        <f t="shared" si="22"/>
        <v>#REF!</v>
      </c>
      <c r="C674" s="21" t="s">
        <v>396</v>
      </c>
      <c r="D674" s="13"/>
      <c r="E674" s="508">
        <f>E639</f>
        <v>6527</v>
      </c>
      <c r="F674" s="62"/>
      <c r="G674" s="62"/>
      <c r="H674" s="43"/>
    </row>
    <row r="675" spans="1:8" s="55" customFormat="1" ht="15.75" hidden="1" customHeight="1" x14ac:dyDescent="0.25">
      <c r="A675" s="354">
        <v>1</v>
      </c>
      <c r="B675" s="131" t="e">
        <f t="shared" si="22"/>
        <v>#REF!</v>
      </c>
      <c r="C675" s="21" t="s">
        <v>195</v>
      </c>
      <c r="D675" s="13"/>
      <c r="E675" s="508">
        <f>E653+E628</f>
        <v>27364</v>
      </c>
      <c r="F675" s="62"/>
      <c r="G675" s="62"/>
      <c r="H675" s="43"/>
    </row>
    <row r="676" spans="1:8" s="55" customFormat="1" ht="29.25" hidden="1" customHeight="1" x14ac:dyDescent="0.25">
      <c r="A676" s="354">
        <v>1</v>
      </c>
      <c r="B676" s="131" t="e">
        <f t="shared" si="22"/>
        <v>#REF!</v>
      </c>
      <c r="C676" s="21" t="s">
        <v>196</v>
      </c>
      <c r="D676" s="13"/>
      <c r="E676" s="508">
        <f>E640</f>
        <v>19240</v>
      </c>
      <c r="F676" s="62"/>
      <c r="G676" s="62"/>
      <c r="H676" s="43"/>
    </row>
    <row r="677" spans="1:8" s="55" customFormat="1" ht="15.75" hidden="1" customHeight="1" x14ac:dyDescent="0.25">
      <c r="A677" s="354">
        <v>1</v>
      </c>
      <c r="B677" s="131" t="e">
        <f t="shared" si="22"/>
        <v>#REF!</v>
      </c>
      <c r="C677" s="21" t="s">
        <v>197</v>
      </c>
      <c r="D677" s="13"/>
      <c r="E677" s="508">
        <f>E663+E634</f>
        <v>41721</v>
      </c>
      <c r="F677" s="62"/>
      <c r="G677" s="62"/>
      <c r="H677" s="43"/>
    </row>
    <row r="678" spans="1:8" s="55" customFormat="1" ht="29.25" hidden="1" customHeight="1" x14ac:dyDescent="0.25">
      <c r="A678" s="354">
        <v>1</v>
      </c>
      <c r="B678" s="131" t="e">
        <f t="shared" si="22"/>
        <v>#REF!</v>
      </c>
      <c r="C678" s="21" t="s">
        <v>198</v>
      </c>
      <c r="D678" s="13"/>
      <c r="E678" s="508">
        <f>E667</f>
        <v>8052</v>
      </c>
      <c r="F678" s="62"/>
      <c r="G678" s="62"/>
      <c r="H678" s="43"/>
    </row>
    <row r="679" spans="1:8" s="55" customFormat="1" ht="15.75" hidden="1" customHeight="1" x14ac:dyDescent="0.25">
      <c r="A679" s="354">
        <v>1</v>
      </c>
      <c r="B679" s="131" t="e">
        <f t="shared" si="22"/>
        <v>#REF!</v>
      </c>
      <c r="C679" s="22" t="s">
        <v>112</v>
      </c>
      <c r="D679" s="13"/>
      <c r="E679" s="508">
        <f>E676+E675+E678+E634*2.6+E674*2.6</f>
        <v>180100.80000000002</v>
      </c>
      <c r="F679" s="62"/>
      <c r="G679" s="62"/>
      <c r="H679" s="43"/>
    </row>
    <row r="680" spans="1:8" ht="15.75" hidden="1" customHeight="1" x14ac:dyDescent="0.25">
      <c r="A680" s="354">
        <v>1</v>
      </c>
      <c r="B680" s="131" t="e">
        <f t="shared" si="22"/>
        <v>#REF!</v>
      </c>
      <c r="C680" s="44" t="s">
        <v>7</v>
      </c>
      <c r="D680" s="554"/>
      <c r="E680" s="555"/>
      <c r="F680" s="2"/>
      <c r="G680" s="2"/>
      <c r="H680" s="2"/>
    </row>
    <row r="681" spans="1:8" ht="15.75" hidden="1" customHeight="1" x14ac:dyDescent="0.25">
      <c r="A681" s="354">
        <v>1</v>
      </c>
      <c r="B681" s="131" t="e">
        <f t="shared" si="22"/>
        <v>#REF!</v>
      </c>
      <c r="C681" s="293" t="s">
        <v>71</v>
      </c>
      <c r="D681" s="13"/>
      <c r="E681" s="555"/>
      <c r="F681" s="2"/>
      <c r="G681" s="2"/>
      <c r="H681" s="2"/>
    </row>
    <row r="682" spans="1:8" ht="15.75" hidden="1" customHeight="1" x14ac:dyDescent="0.25">
      <c r="A682" s="354">
        <v>1</v>
      </c>
      <c r="B682" s="131" t="e">
        <f t="shared" si="22"/>
        <v>#REF!</v>
      </c>
      <c r="C682" s="539" t="s">
        <v>86</v>
      </c>
      <c r="D682" s="17">
        <v>240</v>
      </c>
      <c r="E682" s="556">
        <f>216+1</f>
        <v>217</v>
      </c>
      <c r="F682" s="47">
        <v>1.75</v>
      </c>
      <c r="G682" s="2">
        <f>ROUND(H682/D682,0)</f>
        <v>2</v>
      </c>
      <c r="H682" s="2">
        <f>ROUND(E682*F682,0)</f>
        <v>380</v>
      </c>
    </row>
    <row r="683" spans="1:8" ht="15.75" hidden="1" customHeight="1" x14ac:dyDescent="0.25">
      <c r="A683" s="354">
        <v>1</v>
      </c>
      <c r="B683" s="131" t="e">
        <f t="shared" si="22"/>
        <v>#REF!</v>
      </c>
      <c r="C683" s="539" t="s">
        <v>24</v>
      </c>
      <c r="D683" s="52">
        <v>240</v>
      </c>
      <c r="E683" s="53">
        <v>240</v>
      </c>
      <c r="F683" s="47">
        <v>8</v>
      </c>
      <c r="G683" s="2">
        <f>ROUND(H683/D683,0)</f>
        <v>8</v>
      </c>
      <c r="H683" s="2">
        <f>ROUND(E683*F683,0)</f>
        <v>1920</v>
      </c>
    </row>
    <row r="684" spans="1:8" ht="15.75" hidden="1" customHeight="1" x14ac:dyDescent="0.25">
      <c r="A684" s="354">
        <v>1</v>
      </c>
      <c r="B684" s="131" t="e">
        <f t="shared" si="22"/>
        <v>#REF!</v>
      </c>
      <c r="C684" s="539" t="s">
        <v>35</v>
      </c>
      <c r="D684" s="52">
        <v>240</v>
      </c>
      <c r="E684" s="53">
        <v>1416</v>
      </c>
      <c r="F684" s="47">
        <v>8</v>
      </c>
      <c r="G684" s="2">
        <f>ROUND(H684/D684,0)</f>
        <v>47</v>
      </c>
      <c r="H684" s="2">
        <f>ROUND(E684*F684,0)</f>
        <v>11328</v>
      </c>
    </row>
    <row r="685" spans="1:8" ht="15.75" hidden="1" customHeight="1" x14ac:dyDescent="0.25">
      <c r="A685" s="354">
        <v>1</v>
      </c>
      <c r="B685" s="131" t="e">
        <f t="shared" si="22"/>
        <v>#REF!</v>
      </c>
      <c r="C685" s="547" t="s">
        <v>94</v>
      </c>
      <c r="D685" s="13"/>
      <c r="E685" s="506">
        <f>SUM(E682:E684)</f>
        <v>1873</v>
      </c>
      <c r="F685" s="525">
        <f>H685/E685</f>
        <v>7.2760277629471437</v>
      </c>
      <c r="G685" s="31">
        <f>G683+G684+G682</f>
        <v>57</v>
      </c>
      <c r="H685" s="31">
        <f>H683+H684+H682</f>
        <v>13628</v>
      </c>
    </row>
    <row r="686" spans="1:8" ht="15.75" hidden="1" customHeight="1" x14ac:dyDescent="0.25">
      <c r="A686" s="354">
        <v>1</v>
      </c>
      <c r="B686" s="131" t="e">
        <f t="shared" si="22"/>
        <v>#REF!</v>
      </c>
      <c r="C686" s="548" t="s">
        <v>88</v>
      </c>
      <c r="D686" s="64"/>
      <c r="E686" s="518">
        <f>E685</f>
        <v>1873</v>
      </c>
      <c r="F686" s="75">
        <f>H686/E686</f>
        <v>7.2760277629471437</v>
      </c>
      <c r="G686" s="289">
        <f>G685</f>
        <v>57</v>
      </c>
      <c r="H686" s="289">
        <f>H685</f>
        <v>13628</v>
      </c>
    </row>
    <row r="687" spans="1:8" ht="16.5" hidden="1" customHeight="1" thickBot="1" x14ac:dyDescent="0.3">
      <c r="A687" s="354">
        <v>1</v>
      </c>
      <c r="B687" s="131" t="e">
        <f t="shared" si="22"/>
        <v>#REF!</v>
      </c>
      <c r="C687" s="488" t="s">
        <v>213</v>
      </c>
      <c r="D687" s="489"/>
      <c r="E687" s="543"/>
      <c r="F687" s="489"/>
      <c r="G687" s="489"/>
      <c r="H687" s="489"/>
    </row>
    <row r="688" spans="1:8" ht="29.25" hidden="1" customHeight="1" x14ac:dyDescent="0.25">
      <c r="A688" s="354">
        <v>1</v>
      </c>
      <c r="B688" s="131" t="e">
        <f t="shared" si="22"/>
        <v>#REF!</v>
      </c>
      <c r="C688" s="686" t="s">
        <v>358</v>
      </c>
      <c r="D688" s="379"/>
      <c r="E688" s="53"/>
      <c r="F688" s="2"/>
      <c r="G688" s="2"/>
      <c r="H688" s="2"/>
    </row>
    <row r="689" spans="1:8" s="55" customFormat="1" ht="46.5" hidden="1" customHeight="1" x14ac:dyDescent="0.25">
      <c r="A689" s="354">
        <v>1</v>
      </c>
      <c r="B689" s="131" t="e">
        <f t="shared" si="22"/>
        <v>#REF!</v>
      </c>
      <c r="C689" s="128" t="s">
        <v>250</v>
      </c>
      <c r="D689" s="12"/>
      <c r="E689" s="512"/>
      <c r="F689" s="54"/>
      <c r="G689" s="54"/>
      <c r="H689" s="54"/>
    </row>
    <row r="690" spans="1:8" s="55" customFormat="1" ht="15.75" hidden="1" customHeight="1" x14ac:dyDescent="0.25">
      <c r="A690" s="354">
        <v>1</v>
      </c>
      <c r="B690" s="131" t="e">
        <f t="shared" si="22"/>
        <v>#REF!</v>
      </c>
      <c r="C690" s="14" t="s">
        <v>192</v>
      </c>
      <c r="D690" s="59"/>
      <c r="E690" s="513">
        <f>E692+E694+E695+E693</f>
        <v>16066</v>
      </c>
      <c r="F690" s="54"/>
      <c r="G690" s="54"/>
      <c r="H690" s="54"/>
    </row>
    <row r="691" spans="1:8" s="55" customFormat="1" ht="15.75" hidden="1" customHeight="1" x14ac:dyDescent="0.25">
      <c r="A691" s="354">
        <v>1</v>
      </c>
      <c r="B691" s="131" t="e">
        <f t="shared" si="22"/>
        <v>#REF!</v>
      </c>
      <c r="C691" s="18" t="s">
        <v>116</v>
      </c>
      <c r="D691" s="24"/>
      <c r="E691" s="53"/>
      <c r="F691" s="24"/>
      <c r="G691" s="24"/>
      <c r="H691" s="24"/>
    </row>
    <row r="692" spans="1:8" s="55" customFormat="1" ht="30" hidden="1" customHeight="1" x14ac:dyDescent="0.25">
      <c r="A692" s="354">
        <v>1</v>
      </c>
      <c r="B692" s="131" t="e">
        <f t="shared" si="22"/>
        <v>#REF!</v>
      </c>
      <c r="C692" s="15" t="s">
        <v>397</v>
      </c>
      <c r="D692" s="24"/>
      <c r="E692" s="53">
        <v>11678</v>
      </c>
      <c r="F692" s="24"/>
      <c r="G692" s="24"/>
      <c r="H692" s="24"/>
    </row>
    <row r="693" spans="1:8" s="55" customFormat="1" ht="45" hidden="1" customHeight="1" x14ac:dyDescent="0.25">
      <c r="A693" s="354">
        <v>1</v>
      </c>
      <c r="B693" s="131" t="e">
        <f t="shared" si="22"/>
        <v>#REF!</v>
      </c>
      <c r="C693" s="15" t="s">
        <v>398</v>
      </c>
      <c r="D693" s="24"/>
      <c r="E693" s="53"/>
      <c r="F693" s="24"/>
      <c r="G693" s="24"/>
      <c r="H693" s="24"/>
    </row>
    <row r="694" spans="1:8" s="55" customFormat="1" ht="45" hidden="1" customHeight="1" x14ac:dyDescent="0.25">
      <c r="A694" s="354">
        <v>1</v>
      </c>
      <c r="B694" s="131" t="e">
        <f t="shared" si="22"/>
        <v>#REF!</v>
      </c>
      <c r="C694" s="15" t="s">
        <v>399</v>
      </c>
      <c r="D694" s="24"/>
      <c r="E694" s="53">
        <v>2194</v>
      </c>
      <c r="F694" s="24"/>
      <c r="G694" s="24"/>
      <c r="H694" s="24"/>
    </row>
    <row r="695" spans="1:8" s="55" customFormat="1" ht="75" hidden="1" customHeight="1" x14ac:dyDescent="0.25">
      <c r="A695" s="354">
        <v>1</v>
      </c>
      <c r="B695" s="131" t="e">
        <f t="shared" si="22"/>
        <v>#REF!</v>
      </c>
      <c r="C695" s="15" t="s">
        <v>400</v>
      </c>
      <c r="D695" s="24"/>
      <c r="E695" s="53">
        <v>2194</v>
      </c>
      <c r="F695" s="24"/>
      <c r="G695" s="24"/>
      <c r="H695" s="24"/>
    </row>
    <row r="696" spans="1:8" s="55" customFormat="1" ht="15.75" hidden="1" customHeight="1" x14ac:dyDescent="0.25">
      <c r="A696" s="354">
        <v>1</v>
      </c>
      <c r="B696" s="131" t="e">
        <f t="shared" si="22"/>
        <v>#REF!</v>
      </c>
      <c r="C696" s="57" t="s">
        <v>90</v>
      </c>
      <c r="D696" s="24"/>
      <c r="E696" s="53">
        <f>E697+E698+E699</f>
        <v>38256</v>
      </c>
      <c r="F696" s="24"/>
      <c r="G696" s="24"/>
      <c r="H696" s="24"/>
    </row>
    <row r="697" spans="1:8" s="55" customFormat="1" ht="15.75" hidden="1" customHeight="1" x14ac:dyDescent="0.25">
      <c r="A697" s="354">
        <v>1</v>
      </c>
      <c r="B697" s="131" t="e">
        <f t="shared" si="22"/>
        <v>#REF!</v>
      </c>
      <c r="C697" s="15" t="s">
        <v>145</v>
      </c>
      <c r="D697" s="24"/>
      <c r="E697" s="53">
        <v>36264</v>
      </c>
      <c r="F697" s="24"/>
      <c r="G697" s="24"/>
      <c r="H697" s="24"/>
    </row>
    <row r="698" spans="1:8" s="55" customFormat="1" ht="45" hidden="1" x14ac:dyDescent="0.25">
      <c r="A698" s="354">
        <v>1</v>
      </c>
      <c r="B698" s="131" t="e">
        <f t="shared" si="22"/>
        <v>#REF!</v>
      </c>
      <c r="C698" s="15" t="s">
        <v>414</v>
      </c>
      <c r="D698" s="24"/>
      <c r="E698" s="53">
        <v>1084</v>
      </c>
      <c r="F698" s="24"/>
      <c r="G698" s="24"/>
      <c r="H698" s="24"/>
    </row>
    <row r="699" spans="1:8" s="55" customFormat="1" ht="60" hidden="1" x14ac:dyDescent="0.25">
      <c r="A699" s="354"/>
      <c r="B699" s="131"/>
      <c r="C699" s="15" t="s">
        <v>421</v>
      </c>
      <c r="D699" s="24"/>
      <c r="E699" s="53">
        <v>908</v>
      </c>
      <c r="F699" s="24"/>
      <c r="G699" s="24"/>
      <c r="H699" s="24"/>
    </row>
    <row r="700" spans="1:8" s="55" customFormat="1" ht="15.75" hidden="1" customHeight="1" x14ac:dyDescent="0.25">
      <c r="A700" s="354">
        <v>1</v>
      </c>
      <c r="B700" s="131" t="e">
        <f>B698+1</f>
        <v>#REF!</v>
      </c>
      <c r="C700" s="33" t="s">
        <v>98</v>
      </c>
      <c r="D700" s="24"/>
      <c r="E700" s="53"/>
      <c r="F700" s="24"/>
      <c r="G700" s="24"/>
      <c r="H700" s="24"/>
    </row>
    <row r="701" spans="1:8" s="55" customFormat="1" ht="64.5" hidden="1" customHeight="1" x14ac:dyDescent="0.25">
      <c r="A701" s="354">
        <v>1</v>
      </c>
      <c r="B701" s="131" t="e">
        <f t="shared" si="22"/>
        <v>#REF!</v>
      </c>
      <c r="C701" s="15" t="s">
        <v>420</v>
      </c>
      <c r="D701" s="24"/>
      <c r="E701" s="53">
        <v>4539</v>
      </c>
      <c r="F701" s="24"/>
      <c r="G701" s="24"/>
      <c r="H701" s="24"/>
    </row>
    <row r="702" spans="1:8" s="55" customFormat="1" ht="47.25" hidden="1" customHeight="1" x14ac:dyDescent="0.25">
      <c r="A702" s="354">
        <v>1</v>
      </c>
      <c r="B702" s="131" t="e">
        <f t="shared" si="22"/>
        <v>#REF!</v>
      </c>
      <c r="C702" s="58" t="s">
        <v>333</v>
      </c>
      <c r="D702" s="24"/>
      <c r="E702" s="508">
        <f>E703+E710</f>
        <v>13303</v>
      </c>
      <c r="F702" s="24"/>
      <c r="G702" s="24"/>
      <c r="H702" s="24"/>
    </row>
    <row r="703" spans="1:8" s="55" customFormat="1" ht="18" hidden="1" customHeight="1" x14ac:dyDescent="0.25">
      <c r="A703" s="354">
        <v>1</v>
      </c>
      <c r="B703" s="131" t="e">
        <f t="shared" si="22"/>
        <v>#REF!</v>
      </c>
      <c r="C703" s="16" t="s">
        <v>193</v>
      </c>
      <c r="D703" s="24"/>
      <c r="E703" s="508">
        <f>SUM(E704:E709)-E707</f>
        <v>7581</v>
      </c>
      <c r="F703" s="24"/>
      <c r="G703" s="24"/>
      <c r="H703" s="24"/>
    </row>
    <row r="704" spans="1:8" s="55" customFormat="1" ht="36.75" hidden="1" customHeight="1" x14ac:dyDescent="0.25">
      <c r="A704" s="354">
        <v>1</v>
      </c>
      <c r="B704" s="131" t="e">
        <f t="shared" si="22"/>
        <v>#REF!</v>
      </c>
      <c r="C704" s="15" t="s">
        <v>334</v>
      </c>
      <c r="D704" s="24"/>
      <c r="E704" s="53">
        <v>5929</v>
      </c>
      <c r="F704" s="24"/>
      <c r="G704" s="24"/>
      <c r="H704" s="24"/>
    </row>
    <row r="705" spans="1:8" s="55" customFormat="1" ht="45" hidden="1" customHeight="1" x14ac:dyDescent="0.25">
      <c r="A705" s="354">
        <v>1</v>
      </c>
      <c r="B705" s="131" t="e">
        <f t="shared" si="22"/>
        <v>#REF!</v>
      </c>
      <c r="C705" s="15" t="s">
        <v>335</v>
      </c>
      <c r="D705" s="24"/>
      <c r="E705" s="53"/>
      <c r="F705" s="24"/>
      <c r="G705" s="24"/>
      <c r="H705" s="24"/>
    </row>
    <row r="706" spans="1:8" s="55" customFormat="1" ht="30" hidden="1" customHeight="1" x14ac:dyDescent="0.25">
      <c r="A706" s="354">
        <v>1</v>
      </c>
      <c r="B706" s="131" t="e">
        <f t="shared" si="22"/>
        <v>#REF!</v>
      </c>
      <c r="C706" s="15" t="s">
        <v>380</v>
      </c>
      <c r="D706" s="24"/>
      <c r="E706" s="53">
        <v>1528</v>
      </c>
      <c r="F706" s="24"/>
      <c r="G706" s="24"/>
      <c r="H706" s="24"/>
    </row>
    <row r="707" spans="1:8" s="55" customFormat="1" ht="30" hidden="1" customHeight="1" x14ac:dyDescent="0.25">
      <c r="A707" s="354">
        <v>1</v>
      </c>
      <c r="B707" s="131" t="e">
        <f t="shared" si="22"/>
        <v>#REF!</v>
      </c>
      <c r="C707" s="15" t="s">
        <v>381</v>
      </c>
      <c r="D707" s="24"/>
      <c r="E707" s="53"/>
      <c r="F707" s="24"/>
      <c r="G707" s="24"/>
      <c r="H707" s="24"/>
    </row>
    <row r="708" spans="1:8" s="55" customFormat="1" ht="30" hidden="1" customHeight="1" x14ac:dyDescent="0.25">
      <c r="A708" s="354">
        <v>1</v>
      </c>
      <c r="B708" s="131" t="e">
        <f t="shared" si="22"/>
        <v>#REF!</v>
      </c>
      <c r="C708" s="15" t="s">
        <v>382</v>
      </c>
      <c r="D708" s="24"/>
      <c r="E708" s="53">
        <v>90</v>
      </c>
      <c r="F708" s="24"/>
      <c r="G708" s="24"/>
      <c r="H708" s="24"/>
    </row>
    <row r="709" spans="1:8" s="55" customFormat="1" ht="30" hidden="1" customHeight="1" x14ac:dyDescent="0.25">
      <c r="A709" s="354">
        <v>1</v>
      </c>
      <c r="B709" s="131" t="e">
        <f t="shared" si="22"/>
        <v>#REF!</v>
      </c>
      <c r="C709" s="15" t="s">
        <v>383</v>
      </c>
      <c r="D709" s="59"/>
      <c r="E709" s="60">
        <v>34</v>
      </c>
      <c r="F709" s="54"/>
      <c r="G709" s="54"/>
      <c r="H709" s="54"/>
    </row>
    <row r="710" spans="1:8" s="55" customFormat="1" ht="30" hidden="1" customHeight="1" x14ac:dyDescent="0.25">
      <c r="A710" s="354">
        <v>1</v>
      </c>
      <c r="B710" s="131" t="e">
        <f t="shared" si="22"/>
        <v>#REF!</v>
      </c>
      <c r="C710" s="16" t="s">
        <v>194</v>
      </c>
      <c r="D710" s="59"/>
      <c r="E710" s="508">
        <f>SUM(E711:E713)</f>
        <v>5722</v>
      </c>
      <c r="F710" s="54"/>
      <c r="G710" s="54"/>
      <c r="H710" s="54"/>
    </row>
    <row r="711" spans="1:8" s="55" customFormat="1" ht="30" hidden="1" customHeight="1" x14ac:dyDescent="0.25">
      <c r="A711" s="354">
        <v>1</v>
      </c>
      <c r="B711" s="131" t="e">
        <f t="shared" si="22"/>
        <v>#REF!</v>
      </c>
      <c r="C711" s="15" t="s">
        <v>384</v>
      </c>
      <c r="D711" s="59"/>
      <c r="E711" s="53">
        <v>1560</v>
      </c>
      <c r="F711" s="54"/>
      <c r="G711" s="54"/>
      <c r="H711" s="54"/>
    </row>
    <row r="712" spans="1:8" s="55" customFormat="1" ht="45" hidden="1" customHeight="1" x14ac:dyDescent="0.25">
      <c r="A712" s="354">
        <v>1</v>
      </c>
      <c r="B712" s="131" t="e">
        <f t="shared" si="22"/>
        <v>#REF!</v>
      </c>
      <c r="C712" s="15" t="s">
        <v>385</v>
      </c>
      <c r="D712" s="59"/>
      <c r="E712" s="53">
        <v>3700</v>
      </c>
      <c r="F712" s="54"/>
      <c r="G712" s="54"/>
      <c r="H712" s="54"/>
    </row>
    <row r="713" spans="1:8" s="55" customFormat="1" ht="45" hidden="1" customHeight="1" x14ac:dyDescent="0.25">
      <c r="A713" s="354">
        <v>1</v>
      </c>
      <c r="B713" s="131" t="e">
        <f t="shared" si="22"/>
        <v>#REF!</v>
      </c>
      <c r="C713" s="15" t="s">
        <v>386</v>
      </c>
      <c r="D713" s="59"/>
      <c r="E713" s="502">
        <v>462</v>
      </c>
      <c r="F713" s="54"/>
      <c r="G713" s="54"/>
      <c r="H713" s="54"/>
    </row>
    <row r="714" spans="1:8" ht="15.75" hidden="1" customHeight="1" x14ac:dyDescent="0.25">
      <c r="A714" s="354">
        <v>1</v>
      </c>
      <c r="B714" s="131" t="e">
        <f t="shared" si="22"/>
        <v>#REF!</v>
      </c>
      <c r="C714" s="14" t="s">
        <v>251</v>
      </c>
      <c r="D714" s="13"/>
      <c r="E714" s="508">
        <f>E715+E716+E720+E721+E722+E723</f>
        <v>1882</v>
      </c>
      <c r="F714" s="2"/>
      <c r="G714" s="2"/>
      <c r="H714" s="2"/>
    </row>
    <row r="715" spans="1:8" ht="15.75" hidden="1" customHeight="1" x14ac:dyDescent="0.25">
      <c r="A715" s="354">
        <v>1</v>
      </c>
      <c r="B715" s="131" t="e">
        <f t="shared" si="22"/>
        <v>#REF!</v>
      </c>
      <c r="C715" s="15" t="s">
        <v>252</v>
      </c>
      <c r="D715" s="41"/>
      <c r="E715" s="53"/>
      <c r="F715" s="2"/>
      <c r="G715" s="2"/>
      <c r="H715" s="2"/>
    </row>
    <row r="716" spans="1:8" ht="30" hidden="1" customHeight="1" x14ac:dyDescent="0.25">
      <c r="A716" s="354">
        <v>1</v>
      </c>
      <c r="B716" s="131" t="e">
        <f t="shared" si="22"/>
        <v>#REF!</v>
      </c>
      <c r="C716" s="16" t="s">
        <v>388</v>
      </c>
      <c r="D716" s="41"/>
      <c r="E716" s="502">
        <f>E717+E718/4+E719</f>
        <v>53</v>
      </c>
      <c r="F716" s="2"/>
      <c r="G716" s="2"/>
      <c r="H716" s="2"/>
    </row>
    <row r="717" spans="1:8" s="145" customFormat="1" ht="15.75" hidden="1" customHeight="1" x14ac:dyDescent="0.25">
      <c r="A717" s="354">
        <v>1</v>
      </c>
      <c r="B717" s="131" t="e">
        <f t="shared" si="22"/>
        <v>#REF!</v>
      </c>
      <c r="C717" s="15" t="s">
        <v>389</v>
      </c>
      <c r="D717" s="13"/>
      <c r="E717" s="17"/>
      <c r="F717" s="10"/>
      <c r="G717" s="10"/>
      <c r="H717" s="10"/>
    </row>
    <row r="718" spans="1:8" s="55" customFormat="1" ht="30" hidden="1" customHeight="1" x14ac:dyDescent="0.25">
      <c r="A718" s="354">
        <v>1</v>
      </c>
      <c r="B718" s="131" t="e">
        <f t="shared" si="22"/>
        <v>#REF!</v>
      </c>
      <c r="C718" s="15" t="s">
        <v>390</v>
      </c>
      <c r="D718" s="277"/>
      <c r="E718" s="53">
        <v>212</v>
      </c>
      <c r="F718" s="62"/>
      <c r="G718" s="54"/>
      <c r="H718" s="54"/>
    </row>
    <row r="719" spans="1:8" s="55" customFormat="1" ht="45" hidden="1" customHeight="1" x14ac:dyDescent="0.25">
      <c r="A719" s="354">
        <v>1</v>
      </c>
      <c r="B719" s="131" t="e">
        <f t="shared" si="22"/>
        <v>#REF!</v>
      </c>
      <c r="C719" s="15" t="s">
        <v>391</v>
      </c>
      <c r="D719" s="61"/>
      <c r="E719" s="513"/>
      <c r="F719" s="62"/>
      <c r="G719" s="62"/>
      <c r="H719" s="43"/>
    </row>
    <row r="720" spans="1:8" s="55" customFormat="1" ht="45" hidden="1" customHeight="1" x14ac:dyDescent="0.25">
      <c r="A720" s="354">
        <v>1</v>
      </c>
      <c r="B720" s="131" t="e">
        <f t="shared" si="22"/>
        <v>#REF!</v>
      </c>
      <c r="C720" s="15" t="s">
        <v>392</v>
      </c>
      <c r="D720" s="13"/>
      <c r="E720" s="53"/>
      <c r="F720" s="62"/>
      <c r="G720" s="62"/>
      <c r="H720" s="43"/>
    </row>
    <row r="721" spans="1:8" s="55" customFormat="1" ht="45" hidden="1" customHeight="1" x14ac:dyDescent="0.25">
      <c r="A721" s="354">
        <v>1</v>
      </c>
      <c r="B721" s="131" t="e">
        <f t="shared" si="22"/>
        <v>#REF!</v>
      </c>
      <c r="C721" s="18" t="s">
        <v>393</v>
      </c>
      <c r="D721" s="13"/>
      <c r="E721" s="53"/>
      <c r="F721" s="62"/>
      <c r="G721" s="62"/>
      <c r="H721" s="43"/>
    </row>
    <row r="722" spans="1:8" s="55" customFormat="1" ht="75" hidden="1" customHeight="1" x14ac:dyDescent="0.25">
      <c r="A722" s="354">
        <v>1</v>
      </c>
      <c r="B722" s="131" t="e">
        <f t="shared" si="22"/>
        <v>#REF!</v>
      </c>
      <c r="C722" s="18" t="s">
        <v>394</v>
      </c>
      <c r="D722" s="13"/>
      <c r="E722" s="53">
        <v>50</v>
      </c>
      <c r="F722" s="62"/>
      <c r="G722" s="62"/>
      <c r="H722" s="43"/>
    </row>
    <row r="723" spans="1:8" s="55" customFormat="1" ht="30" hidden="1" customHeight="1" x14ac:dyDescent="0.25">
      <c r="A723" s="354">
        <v>1</v>
      </c>
      <c r="B723" s="131" t="e">
        <f t="shared" si="22"/>
        <v>#REF!</v>
      </c>
      <c r="C723" s="18" t="s">
        <v>395</v>
      </c>
      <c r="D723" s="13"/>
      <c r="E723" s="53">
        <v>1779</v>
      </c>
      <c r="F723" s="62"/>
      <c r="G723" s="62"/>
      <c r="H723" s="43"/>
    </row>
    <row r="724" spans="1:8" s="55" customFormat="1" ht="15.75" hidden="1" customHeight="1" x14ac:dyDescent="0.25">
      <c r="A724" s="354">
        <v>1</v>
      </c>
      <c r="B724" s="131" t="e">
        <f t="shared" si="22"/>
        <v>#REF!</v>
      </c>
      <c r="C724" s="14" t="s">
        <v>253</v>
      </c>
      <c r="D724" s="13"/>
      <c r="E724" s="60">
        <f>E725+E726</f>
        <v>4445.5319148936169</v>
      </c>
      <c r="F724" s="62"/>
      <c r="G724" s="62"/>
      <c r="H724" s="43"/>
    </row>
    <row r="725" spans="1:8" s="55" customFormat="1" ht="15.75" hidden="1" customHeight="1" x14ac:dyDescent="0.25">
      <c r="A725" s="354">
        <v>1</v>
      </c>
      <c r="B725" s="131" t="e">
        <f t="shared" si="22"/>
        <v>#REF!</v>
      </c>
      <c r="C725" s="14" t="s">
        <v>254</v>
      </c>
      <c r="D725" s="13"/>
      <c r="E725" s="60"/>
      <c r="F725" s="62"/>
      <c r="G725" s="62"/>
      <c r="H725" s="43"/>
    </row>
    <row r="726" spans="1:8" s="55" customFormat="1" ht="15.75" hidden="1" customHeight="1" x14ac:dyDescent="0.25">
      <c r="A726" s="354">
        <v>1</v>
      </c>
      <c r="B726" s="131" t="e">
        <f t="shared" si="22"/>
        <v>#REF!</v>
      </c>
      <c r="C726" s="15" t="s">
        <v>255</v>
      </c>
      <c r="D726" s="13"/>
      <c r="E726" s="60">
        <f>E727/9.4</f>
        <v>4445.5319148936169</v>
      </c>
      <c r="F726" s="62"/>
      <c r="G726" s="62"/>
      <c r="H726" s="43"/>
    </row>
    <row r="727" spans="1:8" s="55" customFormat="1" ht="15.75" hidden="1" customHeight="1" x14ac:dyDescent="0.25">
      <c r="A727" s="354">
        <v>1</v>
      </c>
      <c r="B727" s="131" t="e">
        <f t="shared" si="22"/>
        <v>#REF!</v>
      </c>
      <c r="C727" s="42" t="s">
        <v>261</v>
      </c>
      <c r="D727" s="13"/>
      <c r="E727" s="60">
        <v>41788</v>
      </c>
      <c r="F727" s="62"/>
      <c r="G727" s="62"/>
      <c r="H727" s="43"/>
    </row>
    <row r="728" spans="1:8" s="55" customFormat="1" ht="29.25" hidden="1" customHeight="1" x14ac:dyDescent="0.25">
      <c r="A728" s="354">
        <v>1</v>
      </c>
      <c r="B728" s="131" t="e">
        <f t="shared" si="22"/>
        <v>#REF!</v>
      </c>
      <c r="C728" s="14" t="s">
        <v>256</v>
      </c>
      <c r="D728" s="13"/>
      <c r="E728" s="513">
        <v>11976</v>
      </c>
      <c r="F728" s="62"/>
      <c r="G728" s="62"/>
      <c r="H728" s="43"/>
    </row>
    <row r="729" spans="1:8" s="55" customFormat="1" ht="15.75" hidden="1" customHeight="1" x14ac:dyDescent="0.25">
      <c r="A729" s="354">
        <v>1</v>
      </c>
      <c r="B729" s="131" t="e">
        <f t="shared" si="22"/>
        <v>#REF!</v>
      </c>
      <c r="C729" s="19" t="s">
        <v>117</v>
      </c>
      <c r="D729" s="13"/>
      <c r="E729" s="68"/>
      <c r="F729" s="62"/>
      <c r="G729" s="62"/>
      <c r="H729" s="43"/>
    </row>
    <row r="730" spans="1:8" s="55" customFormat="1" ht="57.75" hidden="1" customHeight="1" x14ac:dyDescent="0.25">
      <c r="A730" s="354">
        <v>1</v>
      </c>
      <c r="B730" s="131" t="e">
        <f t="shared" si="22"/>
        <v>#REF!</v>
      </c>
      <c r="C730" s="21" t="s">
        <v>259</v>
      </c>
      <c r="D730" s="13"/>
      <c r="E730" s="53"/>
      <c r="F730" s="62"/>
      <c r="G730" s="62"/>
      <c r="H730" s="43"/>
    </row>
    <row r="731" spans="1:8" s="55" customFormat="1" ht="15.75" hidden="1" customHeight="1" x14ac:dyDescent="0.25">
      <c r="A731" s="354">
        <v>1</v>
      </c>
      <c r="B731" s="131" t="e">
        <f t="shared" si="22"/>
        <v>#REF!</v>
      </c>
      <c r="C731" s="20" t="s">
        <v>165</v>
      </c>
      <c r="D731" s="13"/>
      <c r="E731" s="43">
        <f>SUM(E732:E733)</f>
        <v>1300</v>
      </c>
      <c r="F731" s="62"/>
      <c r="G731" s="62"/>
      <c r="H731" s="43"/>
    </row>
    <row r="732" spans="1:8" s="55" customFormat="1" ht="30" hidden="1" customHeight="1" x14ac:dyDescent="0.25">
      <c r="A732" s="354">
        <v>1</v>
      </c>
      <c r="B732" s="131" t="e">
        <f t="shared" si="22"/>
        <v>#REF!</v>
      </c>
      <c r="C732" s="147" t="s">
        <v>205</v>
      </c>
      <c r="D732" s="13"/>
      <c r="E732" s="2">
        <v>676</v>
      </c>
      <c r="F732" s="62"/>
      <c r="G732" s="62"/>
      <c r="H732" s="43"/>
    </row>
    <row r="733" spans="1:8" s="55" customFormat="1" ht="30" hidden="1" customHeight="1" x14ac:dyDescent="0.25">
      <c r="A733" s="354">
        <v>1</v>
      </c>
      <c r="B733" s="131" t="e">
        <f t="shared" si="22"/>
        <v>#REF!</v>
      </c>
      <c r="C733" s="147" t="s">
        <v>204</v>
      </c>
      <c r="D733" s="13"/>
      <c r="E733" s="39">
        <v>624</v>
      </c>
      <c r="F733" s="62"/>
      <c r="G733" s="62"/>
      <c r="H733" s="43"/>
    </row>
    <row r="734" spans="1:8" s="55" customFormat="1" ht="43.5" hidden="1" customHeight="1" x14ac:dyDescent="0.25">
      <c r="A734" s="354">
        <v>1</v>
      </c>
      <c r="B734" s="131" t="e">
        <f t="shared" si="22"/>
        <v>#REF!</v>
      </c>
      <c r="C734" s="21" t="s">
        <v>396</v>
      </c>
      <c r="D734" s="13"/>
      <c r="E734" s="38">
        <f>E701</f>
        <v>4539</v>
      </c>
      <c r="F734" s="62"/>
      <c r="G734" s="62"/>
      <c r="H734" s="43"/>
    </row>
    <row r="735" spans="1:8" s="55" customFormat="1" ht="15.75" hidden="1" customHeight="1" x14ac:dyDescent="0.25">
      <c r="A735" s="354">
        <v>1</v>
      </c>
      <c r="B735" s="131" t="e">
        <f t="shared" ref="B735:B801" si="23">B734+1</f>
        <v>#REF!</v>
      </c>
      <c r="C735" s="21" t="s">
        <v>195</v>
      </c>
      <c r="D735" s="13"/>
      <c r="E735" s="76">
        <f>E690+E714</f>
        <v>17948</v>
      </c>
      <c r="F735" s="62"/>
      <c r="G735" s="62"/>
      <c r="H735" s="43"/>
    </row>
    <row r="736" spans="1:8" s="55" customFormat="1" ht="29.25" hidden="1" customHeight="1" x14ac:dyDescent="0.25">
      <c r="A736" s="354">
        <v>1</v>
      </c>
      <c r="B736" s="131" t="e">
        <f t="shared" si="23"/>
        <v>#REF!</v>
      </c>
      <c r="C736" s="21" t="s">
        <v>196</v>
      </c>
      <c r="D736" s="13"/>
      <c r="E736" s="76">
        <f>E702</f>
        <v>13303</v>
      </c>
      <c r="F736" s="62"/>
      <c r="G736" s="62"/>
      <c r="H736" s="43"/>
    </row>
    <row r="737" spans="1:8" s="55" customFormat="1" ht="15.75" hidden="1" customHeight="1" x14ac:dyDescent="0.25">
      <c r="A737" s="354">
        <v>1</v>
      </c>
      <c r="B737" s="131" t="e">
        <f t="shared" si="23"/>
        <v>#REF!</v>
      </c>
      <c r="C737" s="21" t="s">
        <v>197</v>
      </c>
      <c r="D737" s="13"/>
      <c r="E737" s="76">
        <f>E724+E696</f>
        <v>42701.531914893618</v>
      </c>
      <c r="F737" s="62"/>
      <c r="G737" s="62"/>
      <c r="H737" s="43"/>
    </row>
    <row r="738" spans="1:8" s="55" customFormat="1" ht="29.25" hidden="1" customHeight="1" x14ac:dyDescent="0.25">
      <c r="A738" s="354">
        <v>1</v>
      </c>
      <c r="B738" s="131" t="e">
        <f t="shared" si="23"/>
        <v>#REF!</v>
      </c>
      <c r="C738" s="21" t="s">
        <v>198</v>
      </c>
      <c r="D738" s="13"/>
      <c r="E738" s="29">
        <f>E728+E730</f>
        <v>11976</v>
      </c>
      <c r="F738" s="62"/>
      <c r="G738" s="62"/>
      <c r="H738" s="43"/>
    </row>
    <row r="739" spans="1:8" s="55" customFormat="1" ht="15.75" hidden="1" customHeight="1" x14ac:dyDescent="0.25">
      <c r="A739" s="354">
        <v>1</v>
      </c>
      <c r="B739" s="131" t="e">
        <f t="shared" si="23"/>
        <v>#REF!</v>
      </c>
      <c r="C739" s="22" t="s">
        <v>112</v>
      </c>
      <c r="D739" s="13"/>
      <c r="E739" s="29">
        <f>E738+E735+E736+E696*2.6+E727/4.2+E734*2.6</f>
        <v>164443.52380952382</v>
      </c>
      <c r="F739" s="62"/>
      <c r="G739" s="62"/>
      <c r="H739" s="43"/>
    </row>
    <row r="740" spans="1:8" ht="15.75" hidden="1" customHeight="1" x14ac:dyDescent="0.25">
      <c r="A740" s="354">
        <v>1</v>
      </c>
      <c r="B740" s="131" t="e">
        <f t="shared" si="23"/>
        <v>#REF!</v>
      </c>
      <c r="C740" s="44" t="s">
        <v>7</v>
      </c>
      <c r="D740" s="554"/>
      <c r="E740" s="554"/>
      <c r="F740" s="2"/>
      <c r="G740" s="2"/>
      <c r="H740" s="2"/>
    </row>
    <row r="741" spans="1:8" ht="15.75" hidden="1" customHeight="1" x14ac:dyDescent="0.25">
      <c r="A741" s="354">
        <v>1</v>
      </c>
      <c r="B741" s="131" t="e">
        <f t="shared" si="23"/>
        <v>#REF!</v>
      </c>
      <c r="C741" s="293" t="s">
        <v>71</v>
      </c>
      <c r="D741" s="13"/>
      <c r="E741" s="554"/>
      <c r="F741" s="2"/>
      <c r="G741" s="2"/>
      <c r="H741" s="2"/>
    </row>
    <row r="742" spans="1:8" ht="15.75" hidden="1" customHeight="1" x14ac:dyDescent="0.25">
      <c r="A742" s="354">
        <v>1</v>
      </c>
      <c r="B742" s="131" t="e">
        <f t="shared" si="23"/>
        <v>#REF!</v>
      </c>
      <c r="C742" s="539" t="s">
        <v>274</v>
      </c>
      <c r="D742" s="52">
        <v>240</v>
      </c>
      <c r="E742" s="2">
        <v>121</v>
      </c>
      <c r="F742" s="47">
        <v>4</v>
      </c>
      <c r="G742" s="2">
        <f>ROUND(H742/D742,0)</f>
        <v>2</v>
      </c>
      <c r="H742" s="2">
        <f>ROUND(E742*F742,0)</f>
        <v>484</v>
      </c>
    </row>
    <row r="743" spans="1:8" ht="15.75" hidden="1" customHeight="1" x14ac:dyDescent="0.25">
      <c r="A743" s="354">
        <v>1</v>
      </c>
      <c r="B743" s="131" t="e">
        <f t="shared" si="23"/>
        <v>#REF!</v>
      </c>
      <c r="C743" s="25" t="s">
        <v>35</v>
      </c>
      <c r="D743" s="52">
        <v>240</v>
      </c>
      <c r="E743" s="369">
        <v>1021</v>
      </c>
      <c r="F743" s="47">
        <v>8</v>
      </c>
      <c r="G743" s="2">
        <f>ROUND(H743/D743,0)</f>
        <v>34</v>
      </c>
      <c r="H743" s="2">
        <f>ROUND(E743*F743,0)</f>
        <v>8168</v>
      </c>
    </row>
    <row r="744" spans="1:8" ht="15.75" hidden="1" customHeight="1" x14ac:dyDescent="0.25">
      <c r="A744" s="354">
        <v>1</v>
      </c>
      <c r="B744" s="131" t="e">
        <f t="shared" si="23"/>
        <v>#REF!</v>
      </c>
      <c r="C744" s="547" t="s">
        <v>94</v>
      </c>
      <c r="D744" s="13"/>
      <c r="E744" s="31">
        <f>SUM(E742:E743)</f>
        <v>1142</v>
      </c>
      <c r="F744" s="525">
        <f>H744/E744</f>
        <v>7.5761821366024522</v>
      </c>
      <c r="G744" s="31">
        <f>SUM(G742:G743)</f>
        <v>36</v>
      </c>
      <c r="H744" s="31">
        <f>SUM(H742:H743)</f>
        <v>8652</v>
      </c>
    </row>
    <row r="745" spans="1:8" ht="15.75" hidden="1" customHeight="1" x14ac:dyDescent="0.25">
      <c r="A745" s="354">
        <v>1</v>
      </c>
      <c r="B745" s="131" t="e">
        <f t="shared" si="23"/>
        <v>#REF!</v>
      </c>
      <c r="C745" s="548" t="s">
        <v>88</v>
      </c>
      <c r="D745" s="64"/>
      <c r="E745" s="29">
        <f>E744</f>
        <v>1142</v>
      </c>
      <c r="F745" s="75">
        <f>H745/E745</f>
        <v>7.5761821366024522</v>
      </c>
      <c r="G745" s="29">
        <f>G744</f>
        <v>36</v>
      </c>
      <c r="H745" s="29">
        <f>H744</f>
        <v>8652</v>
      </c>
    </row>
    <row r="746" spans="1:8" ht="16.5" hidden="1" customHeight="1" thickBot="1" x14ac:dyDescent="0.3">
      <c r="A746" s="354">
        <v>1</v>
      </c>
      <c r="B746" s="131" t="e">
        <f t="shared" si="23"/>
        <v>#REF!</v>
      </c>
      <c r="C746" s="557" t="s">
        <v>213</v>
      </c>
      <c r="D746" s="510"/>
      <c r="E746" s="510"/>
      <c r="F746" s="510"/>
      <c r="G746" s="510"/>
      <c r="H746" s="510"/>
    </row>
    <row r="747" spans="1:8" ht="15.75" hidden="1" customHeight="1" x14ac:dyDescent="0.25">
      <c r="A747" s="354">
        <v>1</v>
      </c>
      <c r="B747" s="131" t="e">
        <f t="shared" si="23"/>
        <v>#REF!</v>
      </c>
      <c r="C747" s="535"/>
      <c r="D747" s="365"/>
      <c r="E747" s="494"/>
      <c r="F747" s="494"/>
      <c r="G747" s="494"/>
      <c r="H747" s="494"/>
    </row>
    <row r="748" spans="1:8" ht="29.25" hidden="1" customHeight="1" x14ac:dyDescent="0.25">
      <c r="A748" s="354">
        <v>1</v>
      </c>
      <c r="B748" s="131" t="e">
        <f t="shared" si="23"/>
        <v>#REF!</v>
      </c>
      <c r="C748" s="686" t="s">
        <v>359</v>
      </c>
      <c r="D748" s="63"/>
      <c r="E748" s="2"/>
      <c r="F748" s="2"/>
      <c r="G748" s="2"/>
      <c r="H748" s="369"/>
    </row>
    <row r="749" spans="1:8" s="55" customFormat="1" ht="48" hidden="1" customHeight="1" x14ac:dyDescent="0.25">
      <c r="A749" s="354">
        <v>1</v>
      </c>
      <c r="B749" s="131" t="e">
        <f t="shared" si="23"/>
        <v>#REF!</v>
      </c>
      <c r="C749" s="128" t="s">
        <v>250</v>
      </c>
      <c r="D749" s="12"/>
      <c r="E749" s="77"/>
      <c r="F749" s="54"/>
      <c r="G749" s="54"/>
      <c r="H749" s="54"/>
    </row>
    <row r="750" spans="1:8" s="55" customFormat="1" ht="27.75" hidden="1" customHeight="1" x14ac:dyDescent="0.25">
      <c r="A750" s="354">
        <v>1</v>
      </c>
      <c r="B750" s="131" t="e">
        <f t="shared" si="23"/>
        <v>#REF!</v>
      </c>
      <c r="C750" s="14" t="s">
        <v>192</v>
      </c>
      <c r="D750" s="12"/>
      <c r="E750" s="512">
        <f>E751+E752+E753+E754+E755</f>
        <v>67316</v>
      </c>
      <c r="F750" s="54"/>
      <c r="G750" s="54"/>
      <c r="H750" s="54"/>
    </row>
    <row r="751" spans="1:8" s="55" customFormat="1" ht="15.75" hidden="1" customHeight="1" x14ac:dyDescent="0.25">
      <c r="A751" s="354">
        <v>1</v>
      </c>
      <c r="B751" s="131" t="e">
        <f t="shared" si="23"/>
        <v>#REF!</v>
      </c>
      <c r="C751" s="18" t="s">
        <v>116</v>
      </c>
      <c r="D751" s="12"/>
      <c r="E751" s="56">
        <v>2000</v>
      </c>
      <c r="F751" s="54"/>
      <c r="G751" s="54"/>
      <c r="H751" s="54"/>
    </row>
    <row r="752" spans="1:8" s="55" customFormat="1" ht="30" hidden="1" customHeight="1" x14ac:dyDescent="0.25">
      <c r="A752" s="354">
        <v>1</v>
      </c>
      <c r="B752" s="131" t="e">
        <f t="shared" si="23"/>
        <v>#REF!</v>
      </c>
      <c r="C752" s="15" t="s">
        <v>397</v>
      </c>
      <c r="D752" s="12"/>
      <c r="E752" s="56">
        <v>30316</v>
      </c>
      <c r="F752" s="54"/>
      <c r="G752" s="54"/>
      <c r="H752" s="54"/>
    </row>
    <row r="753" spans="1:8" s="55" customFormat="1" ht="45" hidden="1" customHeight="1" x14ac:dyDescent="0.25">
      <c r="A753" s="354">
        <v>1</v>
      </c>
      <c r="B753" s="131" t="e">
        <f t="shared" si="23"/>
        <v>#REF!</v>
      </c>
      <c r="C753" s="15" t="s">
        <v>398</v>
      </c>
      <c r="D753" s="12"/>
      <c r="E753" s="56">
        <v>2000</v>
      </c>
      <c r="F753" s="54"/>
      <c r="G753" s="54"/>
      <c r="H753" s="54"/>
    </row>
    <row r="754" spans="1:8" s="55" customFormat="1" ht="45" hidden="1" customHeight="1" x14ac:dyDescent="0.25">
      <c r="A754" s="354">
        <v>1</v>
      </c>
      <c r="B754" s="131" t="e">
        <f t="shared" si="23"/>
        <v>#REF!</v>
      </c>
      <c r="C754" s="15" t="s">
        <v>399</v>
      </c>
      <c r="D754" s="12"/>
      <c r="E754" s="56">
        <v>18000</v>
      </c>
      <c r="F754" s="54"/>
      <c r="G754" s="54"/>
      <c r="H754" s="54"/>
    </row>
    <row r="755" spans="1:8" s="55" customFormat="1" ht="75" hidden="1" customHeight="1" x14ac:dyDescent="0.25">
      <c r="A755" s="354">
        <v>1</v>
      </c>
      <c r="B755" s="131" t="e">
        <f t="shared" si="23"/>
        <v>#REF!</v>
      </c>
      <c r="C755" s="15" t="s">
        <v>400</v>
      </c>
      <c r="D755" s="12"/>
      <c r="E755" s="56">
        <v>15000</v>
      </c>
      <c r="F755" s="54"/>
      <c r="G755" s="54"/>
      <c r="H755" s="54"/>
    </row>
    <row r="756" spans="1:8" s="55" customFormat="1" ht="15.75" hidden="1" customHeight="1" x14ac:dyDescent="0.25">
      <c r="A756" s="354">
        <v>1</v>
      </c>
      <c r="B756" s="131" t="e">
        <f t="shared" si="23"/>
        <v>#REF!</v>
      </c>
      <c r="C756" s="57" t="s">
        <v>90</v>
      </c>
      <c r="D756" s="12"/>
      <c r="E756" s="512">
        <f>E757+E758+E759</f>
        <v>182466</v>
      </c>
      <c r="F756" s="54"/>
      <c r="G756" s="54"/>
      <c r="H756" s="54"/>
    </row>
    <row r="757" spans="1:8" s="55" customFormat="1" ht="15.75" hidden="1" customHeight="1" x14ac:dyDescent="0.25">
      <c r="A757" s="354">
        <v>1</v>
      </c>
      <c r="B757" s="131" t="e">
        <f t="shared" si="23"/>
        <v>#REF!</v>
      </c>
      <c r="C757" s="15" t="s">
        <v>145</v>
      </c>
      <c r="D757" s="12"/>
      <c r="E757" s="56">
        <v>175729</v>
      </c>
      <c r="F757" s="54"/>
      <c r="G757" s="54"/>
      <c r="H757" s="54"/>
    </row>
    <row r="758" spans="1:8" s="55" customFormat="1" ht="45" hidden="1" x14ac:dyDescent="0.25">
      <c r="A758" s="354">
        <v>1</v>
      </c>
      <c r="B758" s="131" t="e">
        <f t="shared" si="23"/>
        <v>#REF!</v>
      </c>
      <c r="C758" s="15" t="s">
        <v>414</v>
      </c>
      <c r="D758" s="12"/>
      <c r="E758" s="56"/>
      <c r="F758" s="54"/>
      <c r="G758" s="54"/>
      <c r="H758" s="54"/>
    </row>
    <row r="759" spans="1:8" s="55" customFormat="1" ht="60" hidden="1" x14ac:dyDescent="0.25">
      <c r="A759" s="354"/>
      <c r="B759" s="131"/>
      <c r="C759" s="15" t="s">
        <v>421</v>
      </c>
      <c r="D759" s="12"/>
      <c r="E759" s="56">
        <v>6737</v>
      </c>
      <c r="F759" s="54"/>
      <c r="G759" s="54"/>
      <c r="H759" s="54"/>
    </row>
    <row r="760" spans="1:8" s="55" customFormat="1" ht="15.75" hidden="1" customHeight="1" x14ac:dyDescent="0.25">
      <c r="A760" s="354">
        <v>1</v>
      </c>
      <c r="B760" s="131" t="e">
        <f>B758+1</f>
        <v>#REF!</v>
      </c>
      <c r="C760" s="33" t="s">
        <v>98</v>
      </c>
      <c r="D760" s="12"/>
      <c r="E760" s="56"/>
      <c r="F760" s="54"/>
      <c r="G760" s="54"/>
      <c r="H760" s="54"/>
    </row>
    <row r="761" spans="1:8" s="55" customFormat="1" ht="45" hidden="1" customHeight="1" x14ac:dyDescent="0.25">
      <c r="A761" s="354">
        <v>1</v>
      </c>
      <c r="B761" s="131" t="e">
        <f t="shared" si="23"/>
        <v>#REF!</v>
      </c>
      <c r="C761" s="15" t="s">
        <v>420</v>
      </c>
      <c r="D761" s="12"/>
      <c r="E761" s="56">
        <v>33685</v>
      </c>
      <c r="F761" s="54"/>
      <c r="G761" s="54"/>
      <c r="H761" s="54"/>
    </row>
    <row r="762" spans="1:8" s="55" customFormat="1" ht="47.25" hidden="1" customHeight="1" x14ac:dyDescent="0.25">
      <c r="A762" s="354">
        <v>1</v>
      </c>
      <c r="B762" s="131" t="e">
        <f t="shared" si="23"/>
        <v>#REF!</v>
      </c>
      <c r="C762" s="58" t="s">
        <v>333</v>
      </c>
      <c r="D762" s="12"/>
      <c r="E762" s="512">
        <f>E763+E770</f>
        <v>51447</v>
      </c>
      <c r="F762" s="54"/>
      <c r="G762" s="54"/>
      <c r="H762" s="54"/>
    </row>
    <row r="763" spans="1:8" s="55" customFormat="1" ht="17.25" hidden="1" customHeight="1" x14ac:dyDescent="0.25">
      <c r="A763" s="354">
        <v>1</v>
      </c>
      <c r="B763" s="131" t="e">
        <f t="shared" si="23"/>
        <v>#REF!</v>
      </c>
      <c r="C763" s="16" t="s">
        <v>193</v>
      </c>
      <c r="D763" s="59"/>
      <c r="E763" s="513">
        <f>SUM(E764:E769)-E767</f>
        <v>41740</v>
      </c>
      <c r="F763" s="54"/>
      <c r="G763" s="54"/>
      <c r="H763" s="54"/>
    </row>
    <row r="764" spans="1:8" s="55" customFormat="1" ht="37.5" hidden="1" customHeight="1" x14ac:dyDescent="0.25">
      <c r="A764" s="354">
        <v>1</v>
      </c>
      <c r="B764" s="131" t="e">
        <f t="shared" si="23"/>
        <v>#REF!</v>
      </c>
      <c r="C764" s="15" t="s">
        <v>334</v>
      </c>
      <c r="D764" s="24"/>
      <c r="E764" s="53">
        <v>36908</v>
      </c>
      <c r="F764" s="24"/>
      <c r="G764" s="24"/>
      <c r="H764" s="24"/>
    </row>
    <row r="765" spans="1:8" s="55" customFormat="1" ht="45" hidden="1" customHeight="1" x14ac:dyDescent="0.25">
      <c r="A765" s="354">
        <v>1</v>
      </c>
      <c r="B765" s="131" t="e">
        <f t="shared" si="23"/>
        <v>#REF!</v>
      </c>
      <c r="C765" s="15" t="s">
        <v>335</v>
      </c>
      <c r="D765" s="59"/>
      <c r="E765" s="60"/>
      <c r="F765" s="54"/>
      <c r="G765" s="54"/>
      <c r="H765" s="54"/>
    </row>
    <row r="766" spans="1:8" s="55" customFormat="1" ht="30" hidden="1" customHeight="1" x14ac:dyDescent="0.25">
      <c r="A766" s="354">
        <v>1</v>
      </c>
      <c r="B766" s="131" t="e">
        <f t="shared" si="23"/>
        <v>#REF!</v>
      </c>
      <c r="C766" s="15" t="s">
        <v>380</v>
      </c>
      <c r="D766" s="59"/>
      <c r="E766" s="68">
        <v>4832</v>
      </c>
      <c r="F766" s="54"/>
      <c r="G766" s="54"/>
      <c r="H766" s="54"/>
    </row>
    <row r="767" spans="1:8" s="55" customFormat="1" ht="30" hidden="1" customHeight="1" x14ac:dyDescent="0.25">
      <c r="A767" s="354">
        <v>1</v>
      </c>
      <c r="B767" s="131" t="e">
        <f t="shared" si="23"/>
        <v>#REF!</v>
      </c>
      <c r="C767" s="15" t="s">
        <v>381</v>
      </c>
      <c r="D767" s="59"/>
      <c r="E767" s="68"/>
      <c r="F767" s="54"/>
      <c r="G767" s="54"/>
      <c r="H767" s="54"/>
    </row>
    <row r="768" spans="1:8" s="55" customFormat="1" ht="30" hidden="1" customHeight="1" x14ac:dyDescent="0.25">
      <c r="A768" s="354">
        <v>1</v>
      </c>
      <c r="B768" s="131" t="e">
        <f t="shared" si="23"/>
        <v>#REF!</v>
      </c>
      <c r="C768" s="15" t="s">
        <v>382</v>
      </c>
      <c r="D768" s="59"/>
      <c r="E768" s="53"/>
      <c r="F768" s="54"/>
      <c r="G768" s="54"/>
      <c r="H768" s="54"/>
    </row>
    <row r="769" spans="1:8" s="55" customFormat="1" ht="30" hidden="1" customHeight="1" x14ac:dyDescent="0.25">
      <c r="A769" s="354">
        <v>1</v>
      </c>
      <c r="B769" s="131" t="e">
        <f t="shared" si="23"/>
        <v>#REF!</v>
      </c>
      <c r="C769" s="15" t="s">
        <v>383</v>
      </c>
      <c r="D769" s="59"/>
      <c r="E769" s="53"/>
      <c r="F769" s="54"/>
      <c r="G769" s="54"/>
      <c r="H769" s="54"/>
    </row>
    <row r="770" spans="1:8" s="55" customFormat="1" ht="30" hidden="1" customHeight="1" x14ac:dyDescent="0.25">
      <c r="A770" s="354">
        <v>1</v>
      </c>
      <c r="B770" s="131" t="e">
        <f t="shared" si="23"/>
        <v>#REF!</v>
      </c>
      <c r="C770" s="16" t="s">
        <v>194</v>
      </c>
      <c r="D770" s="59"/>
      <c r="E770" s="508">
        <f>SUM(E771:E773)</f>
        <v>9707</v>
      </c>
      <c r="F770" s="54"/>
      <c r="G770" s="54"/>
      <c r="H770" s="54"/>
    </row>
    <row r="771" spans="1:8" s="55" customFormat="1" ht="30" hidden="1" customHeight="1" x14ac:dyDescent="0.25">
      <c r="A771" s="354">
        <v>1</v>
      </c>
      <c r="B771" s="131" t="e">
        <f t="shared" si="23"/>
        <v>#REF!</v>
      </c>
      <c r="C771" s="15" t="s">
        <v>384</v>
      </c>
      <c r="D771" s="59"/>
      <c r="E771" s="502">
        <v>9707</v>
      </c>
      <c r="F771" s="54"/>
      <c r="G771" s="54"/>
      <c r="H771" s="54"/>
    </row>
    <row r="772" spans="1:8" ht="45" hidden="1" customHeight="1" x14ac:dyDescent="0.25">
      <c r="A772" s="354">
        <v>1</v>
      </c>
      <c r="B772" s="131" t="e">
        <f t="shared" si="23"/>
        <v>#REF!</v>
      </c>
      <c r="C772" s="15" t="s">
        <v>385</v>
      </c>
      <c r="D772" s="13"/>
      <c r="E772" s="53"/>
      <c r="F772" s="558"/>
      <c r="G772" s="2"/>
      <c r="H772" s="2"/>
    </row>
    <row r="773" spans="1:8" ht="45" hidden="1" customHeight="1" x14ac:dyDescent="0.25">
      <c r="A773" s="354">
        <v>1</v>
      </c>
      <c r="B773" s="131" t="e">
        <f t="shared" si="23"/>
        <v>#REF!</v>
      </c>
      <c r="C773" s="15" t="s">
        <v>386</v>
      </c>
      <c r="D773" s="41"/>
      <c r="E773" s="53"/>
      <c r="F773" s="558"/>
      <c r="G773" s="2"/>
      <c r="H773" s="2"/>
    </row>
    <row r="774" spans="1:8" ht="15.75" hidden="1" customHeight="1" x14ac:dyDescent="0.25">
      <c r="A774" s="354">
        <v>1</v>
      </c>
      <c r="B774" s="131" t="e">
        <f t="shared" si="23"/>
        <v>#REF!</v>
      </c>
      <c r="C774" s="14" t="s">
        <v>251</v>
      </c>
      <c r="D774" s="41"/>
      <c r="E774" s="559">
        <f>E775+E776+E780+E781+E782+E783+E784*5</f>
        <v>15071.25</v>
      </c>
      <c r="F774" s="558"/>
      <c r="G774" s="2"/>
      <c r="H774" s="2"/>
    </row>
    <row r="775" spans="1:8" s="55" customFormat="1" ht="15.75" hidden="1" customHeight="1" x14ac:dyDescent="0.25">
      <c r="A775" s="354">
        <v>1</v>
      </c>
      <c r="B775" s="131" t="e">
        <f t="shared" si="23"/>
        <v>#REF!</v>
      </c>
      <c r="C775" s="15" t="s">
        <v>252</v>
      </c>
      <c r="D775" s="277"/>
      <c r="E775" s="53">
        <v>250</v>
      </c>
      <c r="F775" s="54"/>
      <c r="G775" s="54"/>
      <c r="H775" s="54"/>
    </row>
    <row r="776" spans="1:8" s="55" customFormat="1" ht="30" hidden="1" customHeight="1" x14ac:dyDescent="0.25">
      <c r="A776" s="354">
        <v>1</v>
      </c>
      <c r="B776" s="131" t="e">
        <f t="shared" si="23"/>
        <v>#REF!</v>
      </c>
      <c r="C776" s="16" t="s">
        <v>388</v>
      </c>
      <c r="D776" s="61"/>
      <c r="E776" s="60">
        <f>E777+E778/4</f>
        <v>324.25</v>
      </c>
      <c r="F776" s="62"/>
      <c r="G776" s="62"/>
      <c r="H776" s="43"/>
    </row>
    <row r="777" spans="1:8" s="145" customFormat="1" ht="15.75" hidden="1" customHeight="1" x14ac:dyDescent="0.25">
      <c r="A777" s="354">
        <v>1</v>
      </c>
      <c r="B777" s="131" t="e">
        <f t="shared" si="23"/>
        <v>#REF!</v>
      </c>
      <c r="C777" s="15" t="s">
        <v>389</v>
      </c>
      <c r="D777" s="13"/>
      <c r="E777" s="17"/>
      <c r="F777" s="10"/>
      <c r="G777" s="10"/>
      <c r="H777" s="10"/>
    </row>
    <row r="778" spans="1:8" s="55" customFormat="1" ht="30" hidden="1" customHeight="1" x14ac:dyDescent="0.25">
      <c r="A778" s="354">
        <v>1</v>
      </c>
      <c r="B778" s="131" t="e">
        <f t="shared" si="23"/>
        <v>#REF!</v>
      </c>
      <c r="C778" s="15" t="s">
        <v>390</v>
      </c>
      <c r="D778" s="13"/>
      <c r="E778" s="53">
        <v>1297</v>
      </c>
      <c r="F778" s="62"/>
      <c r="G778" s="62"/>
      <c r="H778" s="43"/>
    </row>
    <row r="779" spans="1:8" s="55" customFormat="1" ht="45" hidden="1" customHeight="1" x14ac:dyDescent="0.25">
      <c r="A779" s="354">
        <v>1</v>
      </c>
      <c r="B779" s="131" t="e">
        <f t="shared" si="23"/>
        <v>#REF!</v>
      </c>
      <c r="C779" s="15" t="s">
        <v>391</v>
      </c>
      <c r="D779" s="13"/>
      <c r="E779" s="53"/>
      <c r="F779" s="62"/>
      <c r="G779" s="62"/>
      <c r="H779" s="43"/>
    </row>
    <row r="780" spans="1:8" s="55" customFormat="1" ht="45" hidden="1" customHeight="1" x14ac:dyDescent="0.25">
      <c r="A780" s="354">
        <v>1</v>
      </c>
      <c r="B780" s="131" t="e">
        <f t="shared" si="23"/>
        <v>#REF!</v>
      </c>
      <c r="C780" s="15" t="s">
        <v>392</v>
      </c>
      <c r="D780" s="13"/>
      <c r="E780" s="60"/>
      <c r="F780" s="62"/>
      <c r="G780" s="62"/>
      <c r="H780" s="43"/>
    </row>
    <row r="781" spans="1:8" s="55" customFormat="1" ht="45" hidden="1" customHeight="1" x14ac:dyDescent="0.25">
      <c r="A781" s="354">
        <v>1</v>
      </c>
      <c r="B781" s="131" t="e">
        <f t="shared" si="23"/>
        <v>#REF!</v>
      </c>
      <c r="C781" s="18" t="s">
        <v>393</v>
      </c>
      <c r="D781" s="13"/>
      <c r="E781" s="60"/>
      <c r="F781" s="62"/>
      <c r="G781" s="62"/>
      <c r="H781" s="43"/>
    </row>
    <row r="782" spans="1:8" s="55" customFormat="1" ht="75" hidden="1" customHeight="1" x14ac:dyDescent="0.25">
      <c r="A782" s="354">
        <v>1</v>
      </c>
      <c r="B782" s="131" t="e">
        <f t="shared" si="23"/>
        <v>#REF!</v>
      </c>
      <c r="C782" s="18" t="s">
        <v>394</v>
      </c>
      <c r="D782" s="13"/>
      <c r="E782" s="53">
        <v>3000</v>
      </c>
      <c r="F782" s="62"/>
      <c r="G782" s="62"/>
      <c r="H782" s="43"/>
    </row>
    <row r="783" spans="1:8" s="55" customFormat="1" ht="30" hidden="1" customHeight="1" x14ac:dyDescent="0.25">
      <c r="A783" s="354">
        <v>1</v>
      </c>
      <c r="B783" s="131" t="e">
        <f t="shared" si="23"/>
        <v>#REF!</v>
      </c>
      <c r="C783" s="15" t="s">
        <v>395</v>
      </c>
      <c r="D783" s="13"/>
      <c r="E783" s="53">
        <v>11072</v>
      </c>
      <c r="F783" s="62"/>
      <c r="G783" s="62"/>
      <c r="H783" s="43"/>
    </row>
    <row r="784" spans="1:8" s="55" customFormat="1" ht="30" hidden="1" customHeight="1" x14ac:dyDescent="0.25">
      <c r="A784" s="354"/>
      <c r="B784" s="131"/>
      <c r="C784" s="617" t="s">
        <v>422</v>
      </c>
      <c r="D784" s="13"/>
      <c r="E784" s="508">
        <f>E785</f>
        <v>85</v>
      </c>
      <c r="F784" s="62"/>
      <c r="G784" s="62"/>
      <c r="H784" s="43"/>
    </row>
    <row r="785" spans="1:8" s="55" customFormat="1" ht="22.5" hidden="1" customHeight="1" x14ac:dyDescent="0.25">
      <c r="A785" s="354"/>
      <c r="B785" s="131"/>
      <c r="C785" s="15" t="s">
        <v>424</v>
      </c>
      <c r="D785" s="13"/>
      <c r="E785" s="53">
        <v>85</v>
      </c>
      <c r="F785" s="62"/>
      <c r="G785" s="62"/>
      <c r="H785" s="43"/>
    </row>
    <row r="786" spans="1:8" s="55" customFormat="1" ht="15.75" hidden="1" customHeight="1" x14ac:dyDescent="0.25">
      <c r="A786" s="354">
        <v>1</v>
      </c>
      <c r="B786" s="131" t="e">
        <f>B783+1</f>
        <v>#REF!</v>
      </c>
      <c r="C786" s="14" t="s">
        <v>253</v>
      </c>
      <c r="D786" s="13"/>
      <c r="E786" s="60">
        <f>E787+E788</f>
        <v>583.82978723404256</v>
      </c>
      <c r="F786" s="62"/>
      <c r="G786" s="62"/>
      <c r="H786" s="43"/>
    </row>
    <row r="787" spans="1:8" s="55" customFormat="1" ht="15.75" hidden="1" customHeight="1" x14ac:dyDescent="0.25">
      <c r="A787" s="354">
        <v>1</v>
      </c>
      <c r="B787" s="131" t="e">
        <f t="shared" si="23"/>
        <v>#REF!</v>
      </c>
      <c r="C787" s="14" t="s">
        <v>254</v>
      </c>
      <c r="D787" s="13"/>
      <c r="E787" s="60">
        <v>150</v>
      </c>
      <c r="F787" s="62"/>
      <c r="G787" s="62"/>
      <c r="H787" s="43"/>
    </row>
    <row r="788" spans="1:8" s="55" customFormat="1" ht="15.75" hidden="1" customHeight="1" x14ac:dyDescent="0.25">
      <c r="A788" s="354">
        <v>1</v>
      </c>
      <c r="B788" s="131" t="e">
        <f t="shared" si="23"/>
        <v>#REF!</v>
      </c>
      <c r="C788" s="15" t="s">
        <v>255</v>
      </c>
      <c r="D788" s="13"/>
      <c r="E788" s="60">
        <f>E789/9.4</f>
        <v>433.82978723404256</v>
      </c>
      <c r="F788" s="62"/>
      <c r="G788" s="62"/>
      <c r="H788" s="43"/>
    </row>
    <row r="789" spans="1:8" s="55" customFormat="1" ht="15.75" hidden="1" customHeight="1" x14ac:dyDescent="0.25">
      <c r="A789" s="354">
        <v>1</v>
      </c>
      <c r="B789" s="131" t="e">
        <f t="shared" si="23"/>
        <v>#REF!</v>
      </c>
      <c r="C789" s="42" t="s">
        <v>261</v>
      </c>
      <c r="D789" s="13"/>
      <c r="E789" s="68">
        <v>4078</v>
      </c>
      <c r="F789" s="62"/>
      <c r="G789" s="62"/>
      <c r="H789" s="43"/>
    </row>
    <row r="790" spans="1:8" s="55" customFormat="1" ht="29.25" hidden="1" customHeight="1" x14ac:dyDescent="0.25">
      <c r="A790" s="354">
        <v>1</v>
      </c>
      <c r="B790" s="131" t="e">
        <f t="shared" si="23"/>
        <v>#REF!</v>
      </c>
      <c r="C790" s="14" t="s">
        <v>256</v>
      </c>
      <c r="D790" s="13"/>
      <c r="E790" s="53">
        <v>49958</v>
      </c>
      <c r="F790" s="62"/>
      <c r="G790" s="62"/>
      <c r="H790" s="43"/>
    </row>
    <row r="791" spans="1:8" s="55" customFormat="1" ht="15.75" hidden="1" customHeight="1" x14ac:dyDescent="0.25">
      <c r="A791" s="354">
        <v>1</v>
      </c>
      <c r="B791" s="131" t="e">
        <f t="shared" si="23"/>
        <v>#REF!</v>
      </c>
      <c r="C791" s="19" t="s">
        <v>117</v>
      </c>
      <c r="D791" s="13"/>
      <c r="E791" s="53">
        <v>13500</v>
      </c>
      <c r="F791" s="62"/>
      <c r="G791" s="62"/>
      <c r="H791" s="43"/>
    </row>
    <row r="792" spans="1:8" s="55" customFormat="1" ht="44.25" hidden="1" customHeight="1" x14ac:dyDescent="0.25">
      <c r="A792" s="354">
        <v>1</v>
      </c>
      <c r="B792" s="131" t="e">
        <f t="shared" si="23"/>
        <v>#REF!</v>
      </c>
      <c r="C792" s="21" t="s">
        <v>259</v>
      </c>
      <c r="D792" s="13"/>
      <c r="E792" s="550"/>
      <c r="F792" s="62"/>
      <c r="G792" s="62"/>
      <c r="H792" s="43"/>
    </row>
    <row r="793" spans="1:8" s="55" customFormat="1" ht="15.75" hidden="1" customHeight="1" x14ac:dyDescent="0.25">
      <c r="A793" s="354">
        <v>1</v>
      </c>
      <c r="B793" s="131" t="e">
        <f t="shared" si="23"/>
        <v>#REF!</v>
      </c>
      <c r="C793" s="20" t="s">
        <v>165</v>
      </c>
      <c r="D793" s="13"/>
      <c r="E793" s="550">
        <f>SUM(E794:E798)</f>
        <v>6762</v>
      </c>
      <c r="F793" s="62"/>
      <c r="G793" s="62"/>
      <c r="H793" s="43"/>
    </row>
    <row r="794" spans="1:8" s="55" customFormat="1" ht="18" hidden="1" customHeight="1" x14ac:dyDescent="0.25">
      <c r="A794" s="354">
        <v>1</v>
      </c>
      <c r="B794" s="131" t="e">
        <f t="shared" si="23"/>
        <v>#REF!</v>
      </c>
      <c r="C794" s="212" t="s">
        <v>205</v>
      </c>
      <c r="D794" s="13"/>
      <c r="E794" s="550">
        <v>880</v>
      </c>
      <c r="F794" s="62"/>
      <c r="G794" s="62"/>
      <c r="H794" s="43"/>
    </row>
    <row r="795" spans="1:8" s="55" customFormat="1" ht="30" hidden="1" customHeight="1" x14ac:dyDescent="0.25">
      <c r="A795" s="354">
        <v>1</v>
      </c>
      <c r="B795" s="131" t="e">
        <f t="shared" si="23"/>
        <v>#REF!</v>
      </c>
      <c r="C795" s="147" t="s">
        <v>204</v>
      </c>
      <c r="D795" s="13"/>
      <c r="E795" s="550">
        <v>1320</v>
      </c>
      <c r="F795" s="62"/>
      <c r="G795" s="62"/>
      <c r="H795" s="43"/>
    </row>
    <row r="796" spans="1:8" s="55" customFormat="1" ht="45" hidden="1" customHeight="1" x14ac:dyDescent="0.25">
      <c r="A796" s="354">
        <v>1</v>
      </c>
      <c r="B796" s="131" t="e">
        <f t="shared" si="23"/>
        <v>#REF!</v>
      </c>
      <c r="C796" s="147" t="s">
        <v>292</v>
      </c>
      <c r="D796" s="13"/>
      <c r="E796" s="560">
        <v>200</v>
      </c>
      <c r="F796" s="373"/>
      <c r="G796" s="373"/>
      <c r="H796" s="29"/>
    </row>
    <row r="797" spans="1:8" s="55" customFormat="1" ht="45" hidden="1" customHeight="1" x14ac:dyDescent="0.25">
      <c r="A797" s="354">
        <v>1</v>
      </c>
      <c r="B797" s="131" t="e">
        <f t="shared" si="23"/>
        <v>#REF!</v>
      </c>
      <c r="C797" s="147" t="s">
        <v>283</v>
      </c>
      <c r="D797" s="13"/>
      <c r="E797" s="53">
        <v>1562</v>
      </c>
      <c r="F797" s="373"/>
      <c r="G797" s="373"/>
      <c r="H797" s="29"/>
    </row>
    <row r="798" spans="1:8" s="55" customFormat="1" ht="15.75" hidden="1" customHeight="1" x14ac:dyDescent="0.25">
      <c r="A798" s="354">
        <v>1</v>
      </c>
      <c r="B798" s="131" t="e">
        <f t="shared" si="23"/>
        <v>#REF!</v>
      </c>
      <c r="C798" s="147" t="s">
        <v>31</v>
      </c>
      <c r="D798" s="13"/>
      <c r="E798" s="550">
        <v>2800</v>
      </c>
      <c r="F798" s="62"/>
      <c r="G798" s="62"/>
      <c r="H798" s="43"/>
    </row>
    <row r="799" spans="1:8" s="55" customFormat="1" ht="43.5" hidden="1" customHeight="1" x14ac:dyDescent="0.25">
      <c r="A799" s="354">
        <v>1</v>
      </c>
      <c r="B799" s="131" t="e">
        <f t="shared" si="23"/>
        <v>#REF!</v>
      </c>
      <c r="C799" s="21" t="s">
        <v>396</v>
      </c>
      <c r="D799" s="13"/>
      <c r="E799" s="544">
        <f>E761</f>
        <v>33685</v>
      </c>
      <c r="F799" s="62"/>
      <c r="G799" s="62"/>
      <c r="H799" s="43"/>
    </row>
    <row r="800" spans="1:8" s="55" customFormat="1" ht="15.75" hidden="1" customHeight="1" x14ac:dyDescent="0.25">
      <c r="A800" s="354">
        <v>1</v>
      </c>
      <c r="B800" s="131" t="e">
        <f t="shared" si="23"/>
        <v>#REF!</v>
      </c>
      <c r="C800" s="21" t="s">
        <v>195</v>
      </c>
      <c r="D800" s="13"/>
      <c r="E800" s="528">
        <f>E774+E750</f>
        <v>82387.25</v>
      </c>
      <c r="F800" s="62"/>
      <c r="G800" s="62"/>
      <c r="H800" s="43"/>
    </row>
    <row r="801" spans="1:8" s="55" customFormat="1" ht="29.25" hidden="1" customHeight="1" x14ac:dyDescent="0.25">
      <c r="A801" s="354">
        <v>1</v>
      </c>
      <c r="B801" s="131" t="e">
        <f t="shared" si="23"/>
        <v>#REF!</v>
      </c>
      <c r="C801" s="21" t="s">
        <v>196</v>
      </c>
      <c r="D801" s="13"/>
      <c r="E801" s="508">
        <f>E762</f>
        <v>51447</v>
      </c>
      <c r="F801" s="62"/>
      <c r="G801" s="62"/>
      <c r="H801" s="43"/>
    </row>
    <row r="802" spans="1:8" s="55" customFormat="1" ht="15.75" hidden="1" customHeight="1" x14ac:dyDescent="0.25">
      <c r="A802" s="354">
        <v>1</v>
      </c>
      <c r="B802" s="131" t="e">
        <f t="shared" ref="B802:B865" si="24">B801+1</f>
        <v>#REF!</v>
      </c>
      <c r="C802" s="21" t="s">
        <v>197</v>
      </c>
      <c r="D802" s="13"/>
      <c r="E802" s="508">
        <f>E786+E756</f>
        <v>183049.82978723405</v>
      </c>
      <c r="F802" s="62"/>
      <c r="G802" s="62"/>
      <c r="H802" s="43"/>
    </row>
    <row r="803" spans="1:8" s="55" customFormat="1" ht="29.25" hidden="1" customHeight="1" x14ac:dyDescent="0.25">
      <c r="A803" s="354">
        <v>1</v>
      </c>
      <c r="B803" s="131" t="e">
        <f t="shared" si="24"/>
        <v>#REF!</v>
      </c>
      <c r="C803" s="21" t="s">
        <v>198</v>
      </c>
      <c r="D803" s="13"/>
      <c r="E803" s="508">
        <f>E790+E792</f>
        <v>49958</v>
      </c>
      <c r="F803" s="62"/>
      <c r="G803" s="62"/>
      <c r="H803" s="43"/>
    </row>
    <row r="804" spans="1:8" s="55" customFormat="1" ht="15.75" hidden="1" customHeight="1" x14ac:dyDescent="0.25">
      <c r="A804" s="354">
        <v>1</v>
      </c>
      <c r="B804" s="131" t="e">
        <f t="shared" si="24"/>
        <v>#REF!</v>
      </c>
      <c r="C804" s="22" t="s">
        <v>112</v>
      </c>
      <c r="D804" s="59"/>
      <c r="E804" s="513">
        <f>E800+E801+E803+E756*2.6+E789/4.2+E787*2.6+E799*2.6</f>
        <v>747145.80238095252</v>
      </c>
      <c r="F804" s="62"/>
      <c r="G804" s="62"/>
      <c r="H804" s="43"/>
    </row>
    <row r="805" spans="1:8" ht="15.75" hidden="1" customHeight="1" x14ac:dyDescent="0.25">
      <c r="A805" s="354">
        <v>1</v>
      </c>
      <c r="B805" s="131" t="e">
        <f t="shared" si="24"/>
        <v>#REF!</v>
      </c>
      <c r="C805" s="44" t="s">
        <v>7</v>
      </c>
      <c r="D805" s="13"/>
      <c r="E805" s="53"/>
      <c r="F805" s="2"/>
      <c r="G805" s="2"/>
      <c r="H805" s="2"/>
    </row>
    <row r="806" spans="1:8" ht="15.75" hidden="1" customHeight="1" x14ac:dyDescent="0.25">
      <c r="A806" s="354">
        <v>1</v>
      </c>
      <c r="B806" s="131" t="e">
        <f t="shared" si="24"/>
        <v>#REF!</v>
      </c>
      <c r="C806" s="293" t="s">
        <v>71</v>
      </c>
      <c r="D806" s="13"/>
      <c r="E806" s="53"/>
      <c r="F806" s="2"/>
      <c r="G806" s="2"/>
      <c r="H806" s="2"/>
    </row>
    <row r="807" spans="1:8" ht="15.75" hidden="1" customHeight="1" x14ac:dyDescent="0.25">
      <c r="A807" s="354">
        <v>1</v>
      </c>
      <c r="B807" s="131" t="e">
        <f t="shared" si="24"/>
        <v>#REF!</v>
      </c>
      <c r="C807" s="539" t="s">
        <v>55</v>
      </c>
      <c r="D807" s="52">
        <v>240</v>
      </c>
      <c r="E807" s="2">
        <v>666</v>
      </c>
      <c r="F807" s="47">
        <v>8</v>
      </c>
      <c r="G807" s="2">
        <f>ROUND(H807/D807,0)</f>
        <v>22</v>
      </c>
      <c r="H807" s="2">
        <f>ROUND(E807*F807,0)</f>
        <v>5328</v>
      </c>
    </row>
    <row r="808" spans="1:8" ht="15.75" hidden="1" customHeight="1" x14ac:dyDescent="0.25">
      <c r="A808" s="354">
        <v>1</v>
      </c>
      <c r="B808" s="131" t="e">
        <f t="shared" si="24"/>
        <v>#REF!</v>
      </c>
      <c r="C808" s="539" t="s">
        <v>79</v>
      </c>
      <c r="D808" s="52">
        <v>240</v>
      </c>
      <c r="E808" s="2">
        <v>2937</v>
      </c>
      <c r="F808" s="47">
        <v>1</v>
      </c>
      <c r="G808" s="2">
        <f>ROUND(H808/D808,0)</f>
        <v>12</v>
      </c>
      <c r="H808" s="2">
        <f>ROUND(E808*F808,0)</f>
        <v>2937</v>
      </c>
    </row>
    <row r="809" spans="1:8" ht="15.75" hidden="1" customHeight="1" x14ac:dyDescent="0.25">
      <c r="A809" s="354">
        <v>1</v>
      </c>
      <c r="B809" s="131" t="e">
        <f t="shared" si="24"/>
        <v>#REF!</v>
      </c>
      <c r="C809" s="539" t="s">
        <v>22</v>
      </c>
      <c r="D809" s="17">
        <v>240</v>
      </c>
      <c r="E809" s="2">
        <v>668</v>
      </c>
      <c r="F809" s="47">
        <v>8</v>
      </c>
      <c r="G809" s="2">
        <f>ROUND(H809/D809,0)</f>
        <v>22</v>
      </c>
      <c r="H809" s="2">
        <f>ROUND(E809*F809,0)</f>
        <v>5344</v>
      </c>
    </row>
    <row r="810" spans="1:8" ht="15.75" hidden="1" customHeight="1" x14ac:dyDescent="0.25">
      <c r="A810" s="354">
        <v>1</v>
      </c>
      <c r="B810" s="131" t="e">
        <f t="shared" si="24"/>
        <v>#REF!</v>
      </c>
      <c r="C810" s="539" t="s">
        <v>35</v>
      </c>
      <c r="D810" s="52">
        <v>240</v>
      </c>
      <c r="E810" s="53">
        <v>1870</v>
      </c>
      <c r="F810" s="47">
        <v>8</v>
      </c>
      <c r="G810" s="2">
        <f>ROUND(H810/D810,0)</f>
        <v>62</v>
      </c>
      <c r="H810" s="2">
        <f>ROUND(E810*F810,0)</f>
        <v>14960</v>
      </c>
    </row>
    <row r="811" spans="1:8" ht="15.75" hidden="1" customHeight="1" x14ac:dyDescent="0.25">
      <c r="A811" s="354">
        <v>1</v>
      </c>
      <c r="B811" s="131" t="e">
        <f>#REF!+1</f>
        <v>#REF!</v>
      </c>
      <c r="C811" s="547" t="s">
        <v>94</v>
      </c>
      <c r="D811" s="13"/>
      <c r="E811" s="506">
        <f>SUM(E807:E810)</f>
        <v>6141</v>
      </c>
      <c r="F811" s="525">
        <f>H811/E811</f>
        <v>4.6521739130434785</v>
      </c>
      <c r="G811" s="31">
        <f>SUM(G807:G810)</f>
        <v>118</v>
      </c>
      <c r="H811" s="31">
        <f>SUM(H807:H810)</f>
        <v>28569</v>
      </c>
    </row>
    <row r="812" spans="1:8" ht="15.75" hidden="1" customHeight="1" x14ac:dyDescent="0.25">
      <c r="A812" s="354">
        <v>1</v>
      </c>
      <c r="B812" s="131" t="e">
        <f t="shared" si="24"/>
        <v>#REF!</v>
      </c>
      <c r="C812" s="548" t="s">
        <v>88</v>
      </c>
      <c r="D812" s="64"/>
      <c r="E812" s="518">
        <f>E811</f>
        <v>6141</v>
      </c>
      <c r="F812" s="75">
        <f>H812/E812</f>
        <v>4.6521739130434785</v>
      </c>
      <c r="G812" s="289">
        <f>G811</f>
        <v>118</v>
      </c>
      <c r="H812" s="289">
        <f>H811</f>
        <v>28569</v>
      </c>
    </row>
    <row r="813" spans="1:8" ht="16.5" hidden="1" customHeight="1" thickBot="1" x14ac:dyDescent="0.3">
      <c r="A813" s="354">
        <v>1</v>
      </c>
      <c r="B813" s="131" t="e">
        <f t="shared" si="24"/>
        <v>#REF!</v>
      </c>
      <c r="C813" s="495" t="s">
        <v>213</v>
      </c>
      <c r="D813" s="489"/>
      <c r="E813" s="543"/>
      <c r="F813" s="489"/>
      <c r="G813" s="489"/>
      <c r="H813" s="489"/>
    </row>
    <row r="814" spans="1:8" ht="29.25" hidden="1" customHeight="1" x14ac:dyDescent="0.25">
      <c r="A814" s="354">
        <v>1</v>
      </c>
      <c r="B814" s="131" t="e">
        <f t="shared" si="24"/>
        <v>#REF!</v>
      </c>
      <c r="C814" s="686" t="s">
        <v>360</v>
      </c>
      <c r="D814" s="379"/>
      <c r="E814" s="53"/>
      <c r="F814" s="2"/>
      <c r="G814" s="2"/>
      <c r="H814" s="2"/>
    </row>
    <row r="815" spans="1:8" s="55" customFormat="1" ht="43.5" hidden="1" customHeight="1" x14ac:dyDescent="0.25">
      <c r="A815" s="354">
        <v>1</v>
      </c>
      <c r="B815" s="131" t="e">
        <f t="shared" si="24"/>
        <v>#REF!</v>
      </c>
      <c r="C815" s="128" t="s">
        <v>250</v>
      </c>
      <c r="D815" s="12"/>
      <c r="E815" s="512"/>
      <c r="F815" s="54"/>
      <c r="G815" s="54"/>
      <c r="H815" s="54"/>
    </row>
    <row r="816" spans="1:8" s="55" customFormat="1" ht="15.75" hidden="1" customHeight="1" x14ac:dyDescent="0.25">
      <c r="A816" s="354">
        <v>1</v>
      </c>
      <c r="B816" s="131" t="e">
        <f t="shared" si="24"/>
        <v>#REF!</v>
      </c>
      <c r="C816" s="14" t="s">
        <v>192</v>
      </c>
      <c r="D816" s="59"/>
      <c r="E816" s="513">
        <f>E818+E820+E821</f>
        <v>34980</v>
      </c>
      <c r="F816" s="54"/>
      <c r="G816" s="54"/>
      <c r="H816" s="54"/>
    </row>
    <row r="817" spans="1:8" s="55" customFormat="1" ht="15.75" hidden="1" customHeight="1" x14ac:dyDescent="0.25">
      <c r="A817" s="354">
        <v>1</v>
      </c>
      <c r="B817" s="131" t="e">
        <f t="shared" si="24"/>
        <v>#REF!</v>
      </c>
      <c r="C817" s="18" t="s">
        <v>116</v>
      </c>
      <c r="D817" s="59"/>
      <c r="E817" s="68"/>
      <c r="F817" s="54"/>
      <c r="G817" s="54"/>
      <c r="H817" s="54"/>
    </row>
    <row r="818" spans="1:8" s="55" customFormat="1" ht="30" hidden="1" customHeight="1" x14ac:dyDescent="0.25">
      <c r="A818" s="354">
        <v>1</v>
      </c>
      <c r="B818" s="131" t="e">
        <f t="shared" si="24"/>
        <v>#REF!</v>
      </c>
      <c r="C818" s="15" t="s">
        <v>397</v>
      </c>
      <c r="D818" s="59"/>
      <c r="E818" s="68">
        <v>15000</v>
      </c>
      <c r="F818" s="54"/>
      <c r="G818" s="54"/>
      <c r="H818" s="54"/>
    </row>
    <row r="819" spans="1:8" s="55" customFormat="1" ht="45" hidden="1" customHeight="1" x14ac:dyDescent="0.25">
      <c r="A819" s="354">
        <v>1</v>
      </c>
      <c r="B819" s="131" t="e">
        <f t="shared" si="24"/>
        <v>#REF!</v>
      </c>
      <c r="C819" s="15" t="s">
        <v>398</v>
      </c>
      <c r="D819" s="59"/>
      <c r="E819" s="68"/>
      <c r="F819" s="54"/>
      <c r="G819" s="54"/>
      <c r="H819" s="54"/>
    </row>
    <row r="820" spans="1:8" s="55" customFormat="1" ht="45" hidden="1" customHeight="1" x14ac:dyDescent="0.25">
      <c r="A820" s="354">
        <v>1</v>
      </c>
      <c r="B820" s="131" t="e">
        <f t="shared" si="24"/>
        <v>#REF!</v>
      </c>
      <c r="C820" s="15" t="s">
        <v>399</v>
      </c>
      <c r="D820" s="59"/>
      <c r="E820" s="68">
        <v>13980</v>
      </c>
      <c r="F820" s="54"/>
      <c r="G820" s="54"/>
      <c r="H820" s="54"/>
    </row>
    <row r="821" spans="1:8" s="55" customFormat="1" ht="75" hidden="1" customHeight="1" x14ac:dyDescent="0.25">
      <c r="A821" s="354">
        <v>1</v>
      </c>
      <c r="B821" s="131" t="e">
        <f t="shared" si="24"/>
        <v>#REF!</v>
      </c>
      <c r="C821" s="15" t="s">
        <v>400</v>
      </c>
      <c r="D821" s="59"/>
      <c r="E821" s="68">
        <v>6000</v>
      </c>
      <c r="F821" s="54"/>
      <c r="G821" s="54"/>
      <c r="H821" s="54"/>
    </row>
    <row r="822" spans="1:8" s="55" customFormat="1" ht="15.75" hidden="1" customHeight="1" x14ac:dyDescent="0.25">
      <c r="A822" s="354">
        <v>1</v>
      </c>
      <c r="B822" s="131" t="e">
        <f t="shared" si="24"/>
        <v>#REF!</v>
      </c>
      <c r="C822" s="57" t="s">
        <v>90</v>
      </c>
      <c r="D822" s="59"/>
      <c r="E822" s="68">
        <f>E823+E824+E825</f>
        <v>42799</v>
      </c>
      <c r="F822" s="54"/>
      <c r="G822" s="54"/>
      <c r="H822" s="54"/>
    </row>
    <row r="823" spans="1:8" s="55" customFormat="1" ht="15.75" hidden="1" customHeight="1" x14ac:dyDescent="0.25">
      <c r="A823" s="354">
        <v>1</v>
      </c>
      <c r="B823" s="131" t="e">
        <f t="shared" si="24"/>
        <v>#REF!</v>
      </c>
      <c r="C823" s="15" t="s">
        <v>145</v>
      </c>
      <c r="D823" s="59"/>
      <c r="E823" s="68">
        <v>40549</v>
      </c>
      <c r="F823" s="54"/>
      <c r="G823" s="54"/>
      <c r="H823" s="54"/>
    </row>
    <row r="824" spans="1:8" s="55" customFormat="1" ht="45" hidden="1" x14ac:dyDescent="0.25">
      <c r="A824" s="354">
        <v>1</v>
      </c>
      <c r="B824" s="131" t="e">
        <f t="shared" si="24"/>
        <v>#REF!</v>
      </c>
      <c r="C824" s="15" t="s">
        <v>414</v>
      </c>
      <c r="D824" s="59"/>
      <c r="E824" s="68">
        <v>1051</v>
      </c>
      <c r="F824" s="54"/>
      <c r="G824" s="54"/>
      <c r="H824" s="54"/>
    </row>
    <row r="825" spans="1:8" s="55" customFormat="1" ht="60" hidden="1" x14ac:dyDescent="0.25">
      <c r="A825" s="354"/>
      <c r="B825" s="131"/>
      <c r="C825" s="15" t="s">
        <v>421</v>
      </c>
      <c r="D825" s="59"/>
      <c r="E825" s="68">
        <v>1199</v>
      </c>
      <c r="F825" s="54"/>
      <c r="G825" s="54"/>
      <c r="H825" s="54"/>
    </row>
    <row r="826" spans="1:8" s="55" customFormat="1" ht="15.75" hidden="1" customHeight="1" x14ac:dyDescent="0.25">
      <c r="A826" s="354">
        <v>1</v>
      </c>
      <c r="B826" s="131" t="e">
        <f>B824+1</f>
        <v>#REF!</v>
      </c>
      <c r="C826" s="33" t="s">
        <v>98</v>
      </c>
      <c r="D826" s="59"/>
      <c r="E826" s="68"/>
      <c r="F826" s="54"/>
      <c r="G826" s="54"/>
      <c r="H826" s="54"/>
    </row>
    <row r="827" spans="1:8" s="55" customFormat="1" ht="45" hidden="1" customHeight="1" x14ac:dyDescent="0.25">
      <c r="A827" s="354">
        <v>1</v>
      </c>
      <c r="B827" s="131" t="e">
        <f t="shared" si="24"/>
        <v>#REF!</v>
      </c>
      <c r="C827" s="15" t="s">
        <v>420</v>
      </c>
      <c r="D827" s="59"/>
      <c r="E827" s="68">
        <v>5997</v>
      </c>
      <c r="F827" s="54"/>
      <c r="G827" s="54"/>
      <c r="H827" s="54"/>
    </row>
    <row r="828" spans="1:8" s="55" customFormat="1" ht="31.5" hidden="1" customHeight="1" x14ac:dyDescent="0.25">
      <c r="A828" s="354">
        <v>1</v>
      </c>
      <c r="B828" s="131" t="e">
        <f t="shared" si="24"/>
        <v>#REF!</v>
      </c>
      <c r="C828" s="58" t="s">
        <v>401</v>
      </c>
      <c r="D828" s="59"/>
      <c r="E828" s="527">
        <f>E829+E836</f>
        <v>15427</v>
      </c>
      <c r="F828" s="54"/>
      <c r="G828" s="54"/>
      <c r="H828" s="54"/>
    </row>
    <row r="829" spans="1:8" s="55" customFormat="1" ht="25.5" hidden="1" customHeight="1" x14ac:dyDescent="0.25">
      <c r="A829" s="354">
        <v>1</v>
      </c>
      <c r="B829" s="131" t="e">
        <f t="shared" si="24"/>
        <v>#REF!</v>
      </c>
      <c r="C829" s="16" t="s">
        <v>193</v>
      </c>
      <c r="D829" s="59"/>
      <c r="E829" s="527">
        <f>SUM(E830:E835)-E833</f>
        <v>8020</v>
      </c>
      <c r="F829" s="54"/>
      <c r="G829" s="54"/>
      <c r="H829" s="54"/>
    </row>
    <row r="830" spans="1:8" s="55" customFormat="1" ht="31.5" hidden="1" customHeight="1" x14ac:dyDescent="0.25">
      <c r="A830" s="354">
        <v>1</v>
      </c>
      <c r="B830" s="131" t="e">
        <f t="shared" si="24"/>
        <v>#REF!</v>
      </c>
      <c r="C830" s="15" t="s">
        <v>334</v>
      </c>
      <c r="D830" s="59"/>
      <c r="E830" s="68">
        <v>7047</v>
      </c>
      <c r="F830" s="54"/>
      <c r="G830" s="54"/>
      <c r="H830" s="54"/>
    </row>
    <row r="831" spans="1:8" s="55" customFormat="1" ht="45" hidden="1" customHeight="1" x14ac:dyDescent="0.25">
      <c r="A831" s="354">
        <v>1</v>
      </c>
      <c r="B831" s="131" t="e">
        <f t="shared" si="24"/>
        <v>#REF!</v>
      </c>
      <c r="C831" s="15" t="s">
        <v>335</v>
      </c>
      <c r="D831" s="59"/>
      <c r="E831" s="68"/>
      <c r="F831" s="54"/>
      <c r="G831" s="54"/>
      <c r="H831" s="54"/>
    </row>
    <row r="832" spans="1:8" s="55" customFormat="1" ht="30" hidden="1" customHeight="1" x14ac:dyDescent="0.25">
      <c r="A832" s="354">
        <v>1</v>
      </c>
      <c r="B832" s="131" t="e">
        <f t="shared" si="24"/>
        <v>#REF!</v>
      </c>
      <c r="C832" s="15" t="s">
        <v>380</v>
      </c>
      <c r="D832" s="59"/>
      <c r="E832" s="68">
        <v>928</v>
      </c>
      <c r="F832" s="54"/>
      <c r="G832" s="54"/>
      <c r="H832" s="54"/>
    </row>
    <row r="833" spans="1:8" s="55" customFormat="1" ht="30" hidden="1" customHeight="1" x14ac:dyDescent="0.25">
      <c r="A833" s="354">
        <v>1</v>
      </c>
      <c r="B833" s="131" t="e">
        <f t="shared" si="24"/>
        <v>#REF!</v>
      </c>
      <c r="C833" s="15" t="s">
        <v>381</v>
      </c>
      <c r="D833" s="59"/>
      <c r="E833" s="68"/>
      <c r="F833" s="54"/>
      <c r="G833" s="54"/>
      <c r="H833" s="54"/>
    </row>
    <row r="834" spans="1:8" s="55" customFormat="1" ht="30" hidden="1" customHeight="1" x14ac:dyDescent="0.25">
      <c r="A834" s="354">
        <v>1</v>
      </c>
      <c r="B834" s="131" t="e">
        <f t="shared" si="24"/>
        <v>#REF!</v>
      </c>
      <c r="C834" s="15" t="s">
        <v>382</v>
      </c>
      <c r="D834" s="59"/>
      <c r="E834" s="68"/>
      <c r="F834" s="54"/>
      <c r="G834" s="54"/>
      <c r="H834" s="54"/>
    </row>
    <row r="835" spans="1:8" s="55" customFormat="1" ht="30" hidden="1" customHeight="1" x14ac:dyDescent="0.25">
      <c r="A835" s="354">
        <v>1</v>
      </c>
      <c r="B835" s="131" t="e">
        <f t="shared" si="24"/>
        <v>#REF!</v>
      </c>
      <c r="C835" s="15" t="s">
        <v>383</v>
      </c>
      <c r="D835" s="59"/>
      <c r="E835" s="68">
        <v>45</v>
      </c>
      <c r="F835" s="54"/>
      <c r="G835" s="54"/>
      <c r="H835" s="54"/>
    </row>
    <row r="836" spans="1:8" s="55" customFormat="1" ht="30" hidden="1" customHeight="1" x14ac:dyDescent="0.25">
      <c r="A836" s="354">
        <v>1</v>
      </c>
      <c r="B836" s="131" t="e">
        <f t="shared" si="24"/>
        <v>#REF!</v>
      </c>
      <c r="C836" s="16" t="s">
        <v>194</v>
      </c>
      <c r="D836" s="59"/>
      <c r="E836" s="527">
        <f>SUM(E837:E839)</f>
        <v>7407</v>
      </c>
      <c r="F836" s="54"/>
      <c r="G836" s="54"/>
      <c r="H836" s="54"/>
    </row>
    <row r="837" spans="1:8" s="55" customFormat="1" ht="30" hidden="1" customHeight="1" x14ac:dyDescent="0.25">
      <c r="A837" s="354">
        <v>1</v>
      </c>
      <c r="B837" s="131" t="e">
        <f t="shared" si="24"/>
        <v>#REF!</v>
      </c>
      <c r="C837" s="15" t="s">
        <v>384</v>
      </c>
      <c r="D837" s="59"/>
      <c r="E837" s="68">
        <v>1854</v>
      </c>
      <c r="F837" s="54"/>
      <c r="G837" s="54"/>
      <c r="H837" s="54"/>
    </row>
    <row r="838" spans="1:8" s="55" customFormat="1" ht="45" hidden="1" customHeight="1" x14ac:dyDescent="0.25">
      <c r="A838" s="354">
        <v>1</v>
      </c>
      <c r="B838" s="131" t="e">
        <f t="shared" si="24"/>
        <v>#REF!</v>
      </c>
      <c r="C838" s="15" t="s">
        <v>385</v>
      </c>
      <c r="D838" s="59"/>
      <c r="E838" s="68">
        <v>3400</v>
      </c>
      <c r="F838" s="54"/>
      <c r="G838" s="54"/>
      <c r="H838" s="54"/>
    </row>
    <row r="839" spans="1:8" s="55" customFormat="1" ht="45" hidden="1" customHeight="1" x14ac:dyDescent="0.25">
      <c r="A839" s="354">
        <v>1</v>
      </c>
      <c r="B839" s="131" t="e">
        <f t="shared" si="24"/>
        <v>#REF!</v>
      </c>
      <c r="C839" s="15" t="s">
        <v>386</v>
      </c>
      <c r="D839" s="59"/>
      <c r="E839" s="68">
        <v>2153</v>
      </c>
      <c r="F839" s="54"/>
      <c r="G839" s="54"/>
      <c r="H839" s="54"/>
    </row>
    <row r="840" spans="1:8" s="55" customFormat="1" ht="15.75" hidden="1" customHeight="1" x14ac:dyDescent="0.25">
      <c r="A840" s="354">
        <v>1</v>
      </c>
      <c r="B840" s="131" t="e">
        <f t="shared" si="24"/>
        <v>#REF!</v>
      </c>
      <c r="C840" s="14" t="s">
        <v>251</v>
      </c>
      <c r="D840" s="59"/>
      <c r="E840" s="527">
        <f>SUM(E841,E842,E846,E847)+E848+E849</f>
        <v>2525.25</v>
      </c>
      <c r="F840" s="54"/>
      <c r="G840" s="54"/>
      <c r="H840" s="54"/>
    </row>
    <row r="841" spans="1:8" s="55" customFormat="1" ht="15.75" hidden="1" customHeight="1" x14ac:dyDescent="0.25">
      <c r="A841" s="354">
        <v>1</v>
      </c>
      <c r="B841" s="131" t="e">
        <f t="shared" si="24"/>
        <v>#REF!</v>
      </c>
      <c r="C841" s="15" t="s">
        <v>252</v>
      </c>
      <c r="D841" s="59"/>
      <c r="E841" s="68"/>
      <c r="F841" s="54"/>
      <c r="G841" s="54"/>
      <c r="H841" s="54"/>
    </row>
    <row r="842" spans="1:8" s="55" customFormat="1" ht="30" hidden="1" customHeight="1" x14ac:dyDescent="0.25">
      <c r="A842" s="354">
        <v>1</v>
      </c>
      <c r="B842" s="131" t="e">
        <f t="shared" si="24"/>
        <v>#REF!</v>
      </c>
      <c r="C842" s="16" t="s">
        <v>388</v>
      </c>
      <c r="D842" s="24"/>
      <c r="E842" s="53">
        <f>E843+E844/4+E845</f>
        <v>11.25</v>
      </c>
      <c r="F842" s="24"/>
      <c r="G842" s="24"/>
      <c r="H842" s="24"/>
    </row>
    <row r="843" spans="1:8" s="145" customFormat="1" ht="15.75" hidden="1" customHeight="1" x14ac:dyDescent="0.25">
      <c r="A843" s="354">
        <v>1</v>
      </c>
      <c r="B843" s="131" t="e">
        <f t="shared" si="24"/>
        <v>#REF!</v>
      </c>
      <c r="C843" s="15" t="s">
        <v>389</v>
      </c>
      <c r="D843" s="13"/>
      <c r="E843" s="17"/>
      <c r="F843" s="10"/>
      <c r="G843" s="10"/>
      <c r="H843" s="10"/>
    </row>
    <row r="844" spans="1:8" s="55" customFormat="1" ht="30" hidden="1" customHeight="1" x14ac:dyDescent="0.25">
      <c r="A844" s="354">
        <v>1</v>
      </c>
      <c r="B844" s="131" t="e">
        <f t="shared" si="24"/>
        <v>#REF!</v>
      </c>
      <c r="C844" s="15" t="s">
        <v>390</v>
      </c>
      <c r="D844" s="59"/>
      <c r="E844" s="60">
        <v>45</v>
      </c>
      <c r="F844" s="62"/>
      <c r="G844" s="54"/>
      <c r="H844" s="54"/>
    </row>
    <row r="845" spans="1:8" s="55" customFormat="1" ht="45" hidden="1" customHeight="1" x14ac:dyDescent="0.25">
      <c r="A845" s="354">
        <v>1</v>
      </c>
      <c r="B845" s="131" t="e">
        <f t="shared" si="24"/>
        <v>#REF!</v>
      </c>
      <c r="C845" s="15" t="s">
        <v>391</v>
      </c>
      <c r="D845" s="59"/>
      <c r="E845" s="53"/>
      <c r="F845" s="54"/>
      <c r="G845" s="54"/>
      <c r="H845" s="54"/>
    </row>
    <row r="846" spans="1:8" s="55" customFormat="1" ht="45" hidden="1" customHeight="1" x14ac:dyDescent="0.25">
      <c r="A846" s="354">
        <v>1</v>
      </c>
      <c r="B846" s="131" t="e">
        <f t="shared" si="24"/>
        <v>#REF!</v>
      </c>
      <c r="C846" s="15" t="s">
        <v>392</v>
      </c>
      <c r="D846" s="59"/>
      <c r="E846" s="502"/>
      <c r="F846" s="54"/>
      <c r="G846" s="54"/>
      <c r="H846" s="54"/>
    </row>
    <row r="847" spans="1:8" ht="45" hidden="1" customHeight="1" x14ac:dyDescent="0.25">
      <c r="A847" s="354">
        <v>1</v>
      </c>
      <c r="B847" s="131" t="e">
        <f t="shared" si="24"/>
        <v>#REF!</v>
      </c>
      <c r="C847" s="18" t="s">
        <v>393</v>
      </c>
      <c r="D847" s="13"/>
      <c r="E847" s="53"/>
      <c r="F847" s="549"/>
      <c r="G847" s="549"/>
      <c r="H847" s="2"/>
    </row>
    <row r="848" spans="1:8" s="55" customFormat="1" ht="75" hidden="1" customHeight="1" x14ac:dyDescent="0.25">
      <c r="A848" s="354">
        <v>1</v>
      </c>
      <c r="B848" s="131" t="e">
        <f t="shared" si="24"/>
        <v>#REF!</v>
      </c>
      <c r="C848" s="18" t="s">
        <v>394</v>
      </c>
      <c r="D848" s="13"/>
      <c r="E848" s="53">
        <v>400</v>
      </c>
      <c r="F848" s="62"/>
      <c r="G848" s="62"/>
      <c r="H848" s="43"/>
    </row>
    <row r="849" spans="1:8" s="55" customFormat="1" ht="30" hidden="1" customHeight="1" x14ac:dyDescent="0.25">
      <c r="A849" s="354">
        <v>1</v>
      </c>
      <c r="B849" s="131" t="e">
        <f t="shared" si="24"/>
        <v>#REF!</v>
      </c>
      <c r="C849" s="15" t="s">
        <v>395</v>
      </c>
      <c r="D849" s="41"/>
      <c r="E849" s="53">
        <v>2114</v>
      </c>
      <c r="F849" s="373"/>
      <c r="G849" s="373"/>
      <c r="H849" s="29"/>
    </row>
    <row r="850" spans="1:8" ht="15.75" hidden="1" customHeight="1" x14ac:dyDescent="0.25">
      <c r="A850" s="354">
        <v>1</v>
      </c>
      <c r="B850" s="131" t="e">
        <f t="shared" si="24"/>
        <v>#REF!</v>
      </c>
      <c r="C850" s="14" t="s">
        <v>253</v>
      </c>
      <c r="D850" s="41"/>
      <c r="E850" s="53">
        <f>E851+E853/9.4</f>
        <v>6142.2340425531911</v>
      </c>
      <c r="F850" s="549"/>
      <c r="G850" s="549"/>
      <c r="H850" s="2"/>
    </row>
    <row r="851" spans="1:8" ht="15.75" hidden="1" customHeight="1" x14ac:dyDescent="0.25">
      <c r="A851" s="354">
        <v>1</v>
      </c>
      <c r="B851" s="131" t="e">
        <f t="shared" si="24"/>
        <v>#REF!</v>
      </c>
      <c r="C851" s="14" t="s">
        <v>254</v>
      </c>
      <c r="D851" s="41"/>
      <c r="E851" s="502"/>
      <c r="F851" s="549"/>
      <c r="G851" s="549"/>
      <c r="H851" s="2"/>
    </row>
    <row r="852" spans="1:8" s="55" customFormat="1" ht="15.75" hidden="1" customHeight="1" x14ac:dyDescent="0.25">
      <c r="A852" s="354">
        <v>1</v>
      </c>
      <c r="B852" s="131" t="e">
        <f t="shared" si="24"/>
        <v>#REF!</v>
      </c>
      <c r="C852" s="15" t="s">
        <v>255</v>
      </c>
      <c r="D852" s="277"/>
      <c r="E852" s="53">
        <f>E853/9.4</f>
        <v>6142.2340425531911</v>
      </c>
      <c r="F852" s="54"/>
      <c r="G852" s="54"/>
      <c r="H852" s="54"/>
    </row>
    <row r="853" spans="1:8" s="55" customFormat="1" ht="15.75" hidden="1" customHeight="1" x14ac:dyDescent="0.25">
      <c r="A853" s="354">
        <v>1</v>
      </c>
      <c r="B853" s="131" t="e">
        <f t="shared" si="24"/>
        <v>#REF!</v>
      </c>
      <c r="C853" s="42" t="s">
        <v>261</v>
      </c>
      <c r="D853" s="61"/>
      <c r="E853" s="513">
        <v>57737</v>
      </c>
      <c r="F853" s="62"/>
      <c r="G853" s="62"/>
      <c r="H853" s="43"/>
    </row>
    <row r="854" spans="1:8" s="55" customFormat="1" ht="29.25" hidden="1" customHeight="1" x14ac:dyDescent="0.25">
      <c r="A854" s="354">
        <v>1</v>
      </c>
      <c r="B854" s="131" t="e">
        <f t="shared" si="24"/>
        <v>#REF!</v>
      </c>
      <c r="C854" s="14" t="s">
        <v>256</v>
      </c>
      <c r="D854" s="13"/>
      <c r="E854" s="508">
        <v>12195</v>
      </c>
      <c r="F854" s="62"/>
      <c r="G854" s="62"/>
      <c r="H854" s="43"/>
    </row>
    <row r="855" spans="1:8" s="55" customFormat="1" ht="15.75" hidden="1" customHeight="1" x14ac:dyDescent="0.25">
      <c r="A855" s="354">
        <v>1</v>
      </c>
      <c r="B855" s="131" t="e">
        <f t="shared" si="24"/>
        <v>#REF!</v>
      </c>
      <c r="C855" s="19" t="s">
        <v>117</v>
      </c>
      <c r="D855" s="13"/>
      <c r="E855" s="53"/>
      <c r="F855" s="62"/>
      <c r="G855" s="62"/>
      <c r="H855" s="43"/>
    </row>
    <row r="856" spans="1:8" s="55" customFormat="1" ht="57.75" hidden="1" customHeight="1" x14ac:dyDescent="0.25">
      <c r="A856" s="354">
        <v>1</v>
      </c>
      <c r="B856" s="131" t="e">
        <f t="shared" si="24"/>
        <v>#REF!</v>
      </c>
      <c r="C856" s="14" t="s">
        <v>259</v>
      </c>
      <c r="D856" s="13"/>
      <c r="E856" s="53"/>
      <c r="F856" s="62"/>
      <c r="G856" s="62"/>
      <c r="H856" s="43"/>
    </row>
    <row r="857" spans="1:8" s="55" customFormat="1" ht="15.75" hidden="1" customHeight="1" x14ac:dyDescent="0.25">
      <c r="A857" s="354">
        <v>1</v>
      </c>
      <c r="B857" s="131" t="e">
        <f t="shared" si="24"/>
        <v>#REF!</v>
      </c>
      <c r="C857" s="20" t="s">
        <v>165</v>
      </c>
      <c r="D857" s="13"/>
      <c r="E857" s="53">
        <f>E858+E859</f>
        <v>1000</v>
      </c>
      <c r="F857" s="62"/>
      <c r="G857" s="62"/>
      <c r="H857" s="43"/>
    </row>
    <row r="858" spans="1:8" s="55" customFormat="1" ht="16.5" hidden="1" customHeight="1" x14ac:dyDescent="0.25">
      <c r="A858" s="354">
        <v>1</v>
      </c>
      <c r="B858" s="131" t="e">
        <f t="shared" si="24"/>
        <v>#REF!</v>
      </c>
      <c r="C858" s="147" t="s">
        <v>205</v>
      </c>
      <c r="D858" s="13"/>
      <c r="E858" s="60">
        <v>600</v>
      </c>
      <c r="F858" s="62"/>
      <c r="G858" s="62"/>
      <c r="H858" s="43"/>
    </row>
    <row r="859" spans="1:8" s="55" customFormat="1" ht="30" hidden="1" customHeight="1" x14ac:dyDescent="0.25">
      <c r="A859" s="354">
        <v>1</v>
      </c>
      <c r="B859" s="131" t="e">
        <f t="shared" si="24"/>
        <v>#REF!</v>
      </c>
      <c r="C859" s="147" t="s">
        <v>204</v>
      </c>
      <c r="D859" s="13"/>
      <c r="E859" s="60">
        <v>400</v>
      </c>
      <c r="F859" s="62"/>
      <c r="G859" s="62"/>
      <c r="H859" s="43"/>
    </row>
    <row r="860" spans="1:8" s="55" customFormat="1" ht="43.5" hidden="1" customHeight="1" x14ac:dyDescent="0.25">
      <c r="A860" s="354">
        <v>1</v>
      </c>
      <c r="B860" s="131" t="e">
        <f t="shared" si="24"/>
        <v>#REF!</v>
      </c>
      <c r="C860" s="21" t="s">
        <v>396</v>
      </c>
      <c r="D860" s="13"/>
      <c r="E860" s="513">
        <f>E827</f>
        <v>5997</v>
      </c>
      <c r="F860" s="62"/>
      <c r="G860" s="62"/>
      <c r="H860" s="43"/>
    </row>
    <row r="861" spans="1:8" s="55" customFormat="1" ht="15.75" hidden="1" customHeight="1" x14ac:dyDescent="0.25">
      <c r="A861" s="354">
        <v>1</v>
      </c>
      <c r="B861" s="131" t="e">
        <f t="shared" si="24"/>
        <v>#REF!</v>
      </c>
      <c r="C861" s="21" t="s">
        <v>195</v>
      </c>
      <c r="D861" s="13"/>
      <c r="E861" s="513">
        <f>E840+E816</f>
        <v>37505.25</v>
      </c>
      <c r="F861" s="62"/>
      <c r="G861" s="62"/>
      <c r="H861" s="43"/>
    </row>
    <row r="862" spans="1:8" s="55" customFormat="1" ht="29.25" hidden="1" customHeight="1" x14ac:dyDescent="0.25">
      <c r="A862" s="354">
        <v>1</v>
      </c>
      <c r="B862" s="131" t="e">
        <f t="shared" si="24"/>
        <v>#REF!</v>
      </c>
      <c r="C862" s="21" t="s">
        <v>196</v>
      </c>
      <c r="D862" s="13"/>
      <c r="E862" s="513">
        <f>E828</f>
        <v>15427</v>
      </c>
      <c r="F862" s="62"/>
      <c r="G862" s="62"/>
      <c r="H862" s="43"/>
    </row>
    <row r="863" spans="1:8" s="55" customFormat="1" ht="15.75" hidden="1" customHeight="1" x14ac:dyDescent="0.25">
      <c r="A863" s="354">
        <v>1</v>
      </c>
      <c r="B863" s="131" t="e">
        <f t="shared" si="24"/>
        <v>#REF!</v>
      </c>
      <c r="C863" s="21" t="s">
        <v>197</v>
      </c>
      <c r="D863" s="13"/>
      <c r="E863" s="513">
        <f>E850+E822</f>
        <v>48941.234042553187</v>
      </c>
      <c r="F863" s="62"/>
      <c r="G863" s="62"/>
      <c r="H863" s="43"/>
    </row>
    <row r="864" spans="1:8" s="55" customFormat="1" ht="29.25" hidden="1" customHeight="1" x14ac:dyDescent="0.25">
      <c r="A864" s="354">
        <v>1</v>
      </c>
      <c r="B864" s="131" t="e">
        <f t="shared" si="24"/>
        <v>#REF!</v>
      </c>
      <c r="C864" s="21" t="s">
        <v>198</v>
      </c>
      <c r="D864" s="13"/>
      <c r="E864" s="527">
        <f>E854</f>
        <v>12195</v>
      </c>
      <c r="F864" s="62"/>
      <c r="G864" s="62"/>
      <c r="H864" s="43"/>
    </row>
    <row r="865" spans="1:8" s="55" customFormat="1" ht="15.75" hidden="1" customHeight="1" x14ac:dyDescent="0.25">
      <c r="A865" s="354">
        <v>1</v>
      </c>
      <c r="B865" s="131" t="e">
        <f t="shared" si="24"/>
        <v>#REF!</v>
      </c>
      <c r="C865" s="22" t="s">
        <v>112</v>
      </c>
      <c r="D865" s="13"/>
      <c r="E865" s="508">
        <f>E861+E862+E864+E822*2.6+E853/4.2+E860*2.6</f>
        <v>205743.7547619048</v>
      </c>
      <c r="F865" s="62"/>
      <c r="G865" s="62"/>
      <c r="H865" s="43"/>
    </row>
    <row r="866" spans="1:8" ht="15.75" hidden="1" customHeight="1" x14ac:dyDescent="0.25">
      <c r="A866" s="354">
        <v>1</v>
      </c>
      <c r="B866" s="131" t="e">
        <f t="shared" ref="B866:B930" si="25">B865+1</f>
        <v>#REF!</v>
      </c>
      <c r="C866" s="44" t="s">
        <v>7</v>
      </c>
      <c r="D866" s="63"/>
      <c r="E866" s="53"/>
      <c r="F866" s="2"/>
      <c r="G866" s="2"/>
      <c r="H866" s="2"/>
    </row>
    <row r="867" spans="1:8" ht="15.75" hidden="1" customHeight="1" x14ac:dyDescent="0.25">
      <c r="A867" s="354">
        <v>1</v>
      </c>
      <c r="B867" s="131" t="e">
        <f t="shared" si="25"/>
        <v>#REF!</v>
      </c>
      <c r="C867" s="293" t="s">
        <v>71</v>
      </c>
      <c r="D867" s="63"/>
      <c r="E867" s="53"/>
      <c r="F867" s="2"/>
      <c r="G867" s="2"/>
      <c r="H867" s="2"/>
    </row>
    <row r="868" spans="1:8" ht="15.75" hidden="1" customHeight="1" x14ac:dyDescent="0.25">
      <c r="A868" s="354">
        <v>1</v>
      </c>
      <c r="B868" s="131" t="e">
        <f t="shared" si="25"/>
        <v>#REF!</v>
      </c>
      <c r="C868" s="539" t="s">
        <v>35</v>
      </c>
      <c r="D868" s="52">
        <v>240</v>
      </c>
      <c r="E868" s="53">
        <v>785</v>
      </c>
      <c r="F868" s="47">
        <v>8</v>
      </c>
      <c r="G868" s="2">
        <f>ROUND(H868/D868,0)</f>
        <v>26</v>
      </c>
      <c r="H868" s="2">
        <f>ROUND(E868*F868,0)</f>
        <v>6280</v>
      </c>
    </row>
    <row r="869" spans="1:8" ht="15.75" hidden="1" customHeight="1" x14ac:dyDescent="0.25">
      <c r="A869" s="354">
        <v>1</v>
      </c>
      <c r="B869" s="131" t="e">
        <f t="shared" si="25"/>
        <v>#REF!</v>
      </c>
      <c r="C869" s="547" t="s">
        <v>94</v>
      </c>
      <c r="D869" s="63"/>
      <c r="E869" s="506">
        <f>SUM(E868)</f>
        <v>785</v>
      </c>
      <c r="F869" s="525">
        <f t="shared" ref="E869:H870" si="26">F868</f>
        <v>8</v>
      </c>
      <c r="G869" s="31">
        <f t="shared" si="26"/>
        <v>26</v>
      </c>
      <c r="H869" s="31">
        <f t="shared" si="26"/>
        <v>6280</v>
      </c>
    </row>
    <row r="870" spans="1:8" ht="15.75" hidden="1" customHeight="1" x14ac:dyDescent="0.25">
      <c r="A870" s="354">
        <v>1</v>
      </c>
      <c r="B870" s="131" t="e">
        <f t="shared" si="25"/>
        <v>#REF!</v>
      </c>
      <c r="C870" s="548" t="s">
        <v>88</v>
      </c>
      <c r="D870" s="378"/>
      <c r="E870" s="518">
        <f t="shared" si="26"/>
        <v>785</v>
      </c>
      <c r="F870" s="75">
        <f t="shared" si="26"/>
        <v>8</v>
      </c>
      <c r="G870" s="289">
        <f t="shared" si="26"/>
        <v>26</v>
      </c>
      <c r="H870" s="289">
        <f t="shared" si="26"/>
        <v>6280</v>
      </c>
    </row>
    <row r="871" spans="1:8" ht="16.5" hidden="1" customHeight="1" thickBot="1" x14ac:dyDescent="0.3">
      <c r="A871" s="354">
        <v>1</v>
      </c>
      <c r="B871" s="131" t="e">
        <f t="shared" si="25"/>
        <v>#REF!</v>
      </c>
      <c r="C871" s="495" t="s">
        <v>213</v>
      </c>
      <c r="D871" s="489"/>
      <c r="E871" s="543"/>
      <c r="F871" s="489"/>
      <c r="G871" s="489"/>
      <c r="H871" s="489"/>
    </row>
    <row r="872" spans="1:8" ht="15.75" hidden="1" customHeight="1" x14ac:dyDescent="0.25">
      <c r="A872" s="354">
        <v>1</v>
      </c>
      <c r="B872" s="131" t="e">
        <f t="shared" si="25"/>
        <v>#REF!</v>
      </c>
      <c r="C872" s="497"/>
      <c r="D872" s="378"/>
      <c r="E872" s="53"/>
      <c r="F872" s="2"/>
      <c r="G872" s="2"/>
      <c r="H872" s="2"/>
    </row>
    <row r="873" spans="1:8" ht="29.25" hidden="1" customHeight="1" x14ac:dyDescent="0.25">
      <c r="A873" s="354">
        <v>1</v>
      </c>
      <c r="B873" s="131" t="e">
        <f t="shared" si="25"/>
        <v>#REF!</v>
      </c>
      <c r="C873" s="686" t="s">
        <v>361</v>
      </c>
      <c r="D873" s="63"/>
      <c r="E873" s="53"/>
      <c r="F873" s="2"/>
      <c r="G873" s="2"/>
      <c r="H873" s="2"/>
    </row>
    <row r="874" spans="1:8" s="55" customFormat="1" ht="46.5" hidden="1" customHeight="1" x14ac:dyDescent="0.25">
      <c r="A874" s="354">
        <v>1</v>
      </c>
      <c r="B874" s="131" t="e">
        <f t="shared" si="25"/>
        <v>#REF!</v>
      </c>
      <c r="C874" s="128" t="s">
        <v>250</v>
      </c>
      <c r="D874" s="12"/>
      <c r="E874" s="512"/>
      <c r="F874" s="54"/>
      <c r="G874" s="54"/>
      <c r="H874" s="54"/>
    </row>
    <row r="875" spans="1:8" s="55" customFormat="1" ht="15.75" hidden="1" customHeight="1" x14ac:dyDescent="0.25">
      <c r="A875" s="354">
        <v>1</v>
      </c>
      <c r="B875" s="131" t="e">
        <f t="shared" si="25"/>
        <v>#REF!</v>
      </c>
      <c r="C875" s="14" t="s">
        <v>192</v>
      </c>
      <c r="D875" s="12"/>
      <c r="E875" s="512">
        <f>E877+E879+E880</f>
        <v>38050</v>
      </c>
      <c r="F875" s="54"/>
      <c r="G875" s="54"/>
      <c r="H875" s="54"/>
    </row>
    <row r="876" spans="1:8" s="55" customFormat="1" ht="15.75" hidden="1" customHeight="1" x14ac:dyDescent="0.25">
      <c r="A876" s="354">
        <v>1</v>
      </c>
      <c r="B876" s="131" t="e">
        <f t="shared" si="25"/>
        <v>#REF!</v>
      </c>
      <c r="C876" s="18" t="s">
        <v>116</v>
      </c>
      <c r="D876" s="12"/>
      <c r="E876" s="512"/>
      <c r="F876" s="54"/>
      <c r="G876" s="54"/>
      <c r="H876" s="54"/>
    </row>
    <row r="877" spans="1:8" s="55" customFormat="1" ht="30" hidden="1" customHeight="1" x14ac:dyDescent="0.25">
      <c r="A877" s="354">
        <v>1</v>
      </c>
      <c r="B877" s="131" t="e">
        <f t="shared" si="25"/>
        <v>#REF!</v>
      </c>
      <c r="C877" s="15" t="s">
        <v>397</v>
      </c>
      <c r="D877" s="12"/>
      <c r="E877" s="56">
        <v>23500</v>
      </c>
      <c r="F877" s="54"/>
      <c r="G877" s="54"/>
      <c r="H877" s="54"/>
    </row>
    <row r="878" spans="1:8" s="55" customFormat="1" ht="45" hidden="1" customHeight="1" x14ac:dyDescent="0.25">
      <c r="A878" s="354">
        <v>1</v>
      </c>
      <c r="B878" s="131" t="e">
        <f t="shared" si="25"/>
        <v>#REF!</v>
      </c>
      <c r="C878" s="15" t="s">
        <v>398</v>
      </c>
      <c r="D878" s="12"/>
      <c r="E878" s="512"/>
      <c r="F878" s="54"/>
      <c r="G878" s="54"/>
      <c r="H878" s="54"/>
    </row>
    <row r="879" spans="1:8" s="55" customFormat="1" ht="45" hidden="1" customHeight="1" x14ac:dyDescent="0.25">
      <c r="A879" s="354">
        <v>1</v>
      </c>
      <c r="B879" s="131" t="e">
        <f t="shared" si="25"/>
        <v>#REF!</v>
      </c>
      <c r="C879" s="15" t="s">
        <v>399</v>
      </c>
      <c r="D879" s="12"/>
      <c r="E879" s="56">
        <v>12250</v>
      </c>
      <c r="F879" s="54"/>
      <c r="G879" s="54"/>
      <c r="H879" s="54"/>
    </row>
    <row r="880" spans="1:8" s="55" customFormat="1" ht="75" hidden="1" customHeight="1" x14ac:dyDescent="0.25">
      <c r="A880" s="354">
        <v>1</v>
      </c>
      <c r="B880" s="131" t="e">
        <f t="shared" si="25"/>
        <v>#REF!</v>
      </c>
      <c r="C880" s="15" t="s">
        <v>400</v>
      </c>
      <c r="D880" s="12"/>
      <c r="E880" s="56">
        <v>2300</v>
      </c>
      <c r="F880" s="54"/>
      <c r="G880" s="54"/>
      <c r="H880" s="54"/>
    </row>
    <row r="881" spans="1:8" s="55" customFormat="1" ht="15.75" hidden="1" customHeight="1" x14ac:dyDescent="0.25">
      <c r="A881" s="354">
        <v>1</v>
      </c>
      <c r="B881" s="131" t="e">
        <f t="shared" si="25"/>
        <v>#REF!</v>
      </c>
      <c r="C881" s="57" t="s">
        <v>90</v>
      </c>
      <c r="D881" s="12"/>
      <c r="E881" s="512">
        <f>E882+E883+E884</f>
        <v>40000</v>
      </c>
      <c r="F881" s="54"/>
      <c r="G881" s="54"/>
      <c r="H881" s="54"/>
    </row>
    <row r="882" spans="1:8" s="55" customFormat="1" ht="15.75" hidden="1" customHeight="1" x14ac:dyDescent="0.25">
      <c r="A882" s="354">
        <v>1</v>
      </c>
      <c r="B882" s="131" t="e">
        <f t="shared" si="25"/>
        <v>#REF!</v>
      </c>
      <c r="C882" s="15" t="s">
        <v>145</v>
      </c>
      <c r="D882" s="12"/>
      <c r="E882" s="56">
        <v>36550</v>
      </c>
      <c r="F882" s="54"/>
      <c r="G882" s="54"/>
      <c r="H882" s="54"/>
    </row>
    <row r="883" spans="1:8" s="55" customFormat="1" ht="45" hidden="1" x14ac:dyDescent="0.25">
      <c r="A883" s="354">
        <v>1</v>
      </c>
      <c r="B883" s="131" t="e">
        <f t="shared" si="25"/>
        <v>#REF!</v>
      </c>
      <c r="C883" s="15" t="s">
        <v>414</v>
      </c>
      <c r="D883" s="12"/>
      <c r="E883" s="56"/>
      <c r="F883" s="54"/>
      <c r="G883" s="54"/>
      <c r="H883" s="54"/>
    </row>
    <row r="884" spans="1:8" s="55" customFormat="1" ht="60" hidden="1" x14ac:dyDescent="0.25">
      <c r="A884" s="354"/>
      <c r="B884" s="131"/>
      <c r="C884" s="15" t="s">
        <v>421</v>
      </c>
      <c r="D884" s="12"/>
      <c r="E884" s="56">
        <v>3450</v>
      </c>
      <c r="F884" s="54"/>
      <c r="G884" s="54"/>
      <c r="H884" s="54"/>
    </row>
    <row r="885" spans="1:8" s="55" customFormat="1" ht="15.75" hidden="1" customHeight="1" x14ac:dyDescent="0.25">
      <c r="A885" s="354">
        <v>1</v>
      </c>
      <c r="B885" s="131" t="e">
        <f>B883+1</f>
        <v>#REF!</v>
      </c>
      <c r="C885" s="33" t="s">
        <v>98</v>
      </c>
      <c r="D885" s="12"/>
      <c r="E885" s="56"/>
      <c r="F885" s="54"/>
      <c r="G885" s="54"/>
      <c r="H885" s="54"/>
    </row>
    <row r="886" spans="1:8" s="55" customFormat="1" ht="45" hidden="1" customHeight="1" x14ac:dyDescent="0.25">
      <c r="A886" s="354">
        <v>1</v>
      </c>
      <c r="B886" s="131" t="e">
        <f t="shared" si="25"/>
        <v>#REF!</v>
      </c>
      <c r="C886" s="15" t="s">
        <v>420</v>
      </c>
      <c r="D886" s="12"/>
      <c r="E886" s="56">
        <v>17250</v>
      </c>
      <c r="F886" s="54"/>
      <c r="G886" s="54"/>
      <c r="H886" s="54"/>
    </row>
    <row r="887" spans="1:8" s="55" customFormat="1" ht="47.25" hidden="1" customHeight="1" x14ac:dyDescent="0.25">
      <c r="A887" s="354">
        <v>1</v>
      </c>
      <c r="B887" s="131" t="e">
        <f t="shared" si="25"/>
        <v>#REF!</v>
      </c>
      <c r="C887" s="58" t="s">
        <v>333</v>
      </c>
      <c r="D887" s="12"/>
      <c r="E887" s="512">
        <f>E888+E895</f>
        <v>25660</v>
      </c>
      <c r="F887" s="54"/>
      <c r="G887" s="54"/>
      <c r="H887" s="54"/>
    </row>
    <row r="888" spans="1:8" s="55" customFormat="1" ht="16.5" hidden="1" customHeight="1" x14ac:dyDescent="0.25">
      <c r="A888" s="354">
        <v>1</v>
      </c>
      <c r="B888" s="131" t="e">
        <f t="shared" si="25"/>
        <v>#REF!</v>
      </c>
      <c r="C888" s="16" t="s">
        <v>193</v>
      </c>
      <c r="D888" s="59"/>
      <c r="E888" s="513">
        <f>SUM(E889:E894)-E892</f>
        <v>21117</v>
      </c>
      <c r="F888" s="54"/>
      <c r="G888" s="54"/>
      <c r="H888" s="54"/>
    </row>
    <row r="889" spans="1:8" s="55" customFormat="1" ht="36.75" hidden="1" customHeight="1" x14ac:dyDescent="0.25">
      <c r="A889" s="354">
        <v>1</v>
      </c>
      <c r="B889" s="131" t="e">
        <f t="shared" si="25"/>
        <v>#REF!</v>
      </c>
      <c r="C889" s="15" t="s">
        <v>334</v>
      </c>
      <c r="D889" s="59"/>
      <c r="E889" s="60">
        <v>17274</v>
      </c>
      <c r="F889" s="54"/>
      <c r="G889" s="54"/>
      <c r="H889" s="54"/>
    </row>
    <row r="890" spans="1:8" s="55" customFormat="1" ht="45" hidden="1" customHeight="1" x14ac:dyDescent="0.25">
      <c r="A890" s="354">
        <v>1</v>
      </c>
      <c r="B890" s="131" t="e">
        <f t="shared" si="25"/>
        <v>#REF!</v>
      </c>
      <c r="C890" s="15" t="s">
        <v>335</v>
      </c>
      <c r="D890" s="59"/>
      <c r="E890" s="53"/>
      <c r="F890" s="54"/>
      <c r="G890" s="54"/>
      <c r="H890" s="54"/>
    </row>
    <row r="891" spans="1:8" s="55" customFormat="1" ht="30" hidden="1" customHeight="1" x14ac:dyDescent="0.25">
      <c r="A891" s="354">
        <v>1</v>
      </c>
      <c r="B891" s="131" t="e">
        <f t="shared" si="25"/>
        <v>#REF!</v>
      </c>
      <c r="C891" s="15" t="s">
        <v>380</v>
      </c>
      <c r="D891" s="59"/>
      <c r="E891" s="53">
        <v>3843</v>
      </c>
      <c r="F891" s="54"/>
      <c r="G891" s="54"/>
      <c r="H891" s="54"/>
    </row>
    <row r="892" spans="1:8" s="55" customFormat="1" ht="30" hidden="1" customHeight="1" x14ac:dyDescent="0.25">
      <c r="A892" s="354">
        <v>1</v>
      </c>
      <c r="B892" s="131" t="e">
        <f t="shared" si="25"/>
        <v>#REF!</v>
      </c>
      <c r="C892" s="15" t="s">
        <v>381</v>
      </c>
      <c r="D892" s="59"/>
      <c r="E892" s="53"/>
      <c r="F892" s="54"/>
      <c r="G892" s="54"/>
      <c r="H892" s="54"/>
    </row>
    <row r="893" spans="1:8" s="55" customFormat="1" ht="30" hidden="1" customHeight="1" x14ac:dyDescent="0.25">
      <c r="A893" s="354">
        <v>1</v>
      </c>
      <c r="B893" s="131" t="e">
        <f t="shared" si="25"/>
        <v>#REF!</v>
      </c>
      <c r="C893" s="15" t="s">
        <v>382</v>
      </c>
      <c r="D893" s="59"/>
      <c r="E893" s="53"/>
      <c r="F893" s="54"/>
      <c r="G893" s="54"/>
      <c r="H893" s="54"/>
    </row>
    <row r="894" spans="1:8" s="55" customFormat="1" ht="30" hidden="1" customHeight="1" x14ac:dyDescent="0.25">
      <c r="A894" s="354">
        <v>1</v>
      </c>
      <c r="B894" s="131" t="e">
        <f t="shared" si="25"/>
        <v>#REF!</v>
      </c>
      <c r="C894" s="15" t="s">
        <v>383</v>
      </c>
      <c r="D894" s="59"/>
      <c r="E894" s="53"/>
      <c r="F894" s="54"/>
      <c r="G894" s="54"/>
      <c r="H894" s="54"/>
    </row>
    <row r="895" spans="1:8" s="55" customFormat="1" ht="30" hidden="1" customHeight="1" x14ac:dyDescent="0.25">
      <c r="A895" s="354">
        <v>1</v>
      </c>
      <c r="B895" s="131" t="e">
        <f t="shared" si="25"/>
        <v>#REF!</v>
      </c>
      <c r="C895" s="16" t="s">
        <v>194</v>
      </c>
      <c r="D895" s="59"/>
      <c r="E895" s="559">
        <f>SUM(E896:E898)</f>
        <v>4543</v>
      </c>
      <c r="F895" s="54"/>
      <c r="G895" s="54"/>
      <c r="H895" s="54"/>
    </row>
    <row r="896" spans="1:8" ht="30" hidden="1" customHeight="1" x14ac:dyDescent="0.25">
      <c r="A896" s="354">
        <v>1</v>
      </c>
      <c r="B896" s="131" t="e">
        <f t="shared" si="25"/>
        <v>#REF!</v>
      </c>
      <c r="C896" s="15" t="s">
        <v>384</v>
      </c>
      <c r="D896" s="13"/>
      <c r="E896" s="53">
        <v>4543</v>
      </c>
      <c r="F896" s="549"/>
      <c r="G896" s="2"/>
      <c r="H896" s="2"/>
    </row>
    <row r="897" spans="1:8" s="55" customFormat="1" ht="45" hidden="1" customHeight="1" x14ac:dyDescent="0.25">
      <c r="A897" s="354">
        <v>1</v>
      </c>
      <c r="B897" s="131" t="e">
        <f t="shared" si="25"/>
        <v>#REF!</v>
      </c>
      <c r="C897" s="15" t="s">
        <v>385</v>
      </c>
      <c r="D897" s="277"/>
      <c r="E897" s="53"/>
      <c r="F897" s="54"/>
      <c r="G897" s="54"/>
      <c r="H897" s="54"/>
    </row>
    <row r="898" spans="1:8" s="55" customFormat="1" ht="45" hidden="1" customHeight="1" x14ac:dyDescent="0.25">
      <c r="A898" s="354">
        <v>1</v>
      </c>
      <c r="B898" s="131" t="e">
        <f t="shared" si="25"/>
        <v>#REF!</v>
      </c>
      <c r="C898" s="15" t="s">
        <v>386</v>
      </c>
      <c r="D898" s="61"/>
      <c r="E898" s="60"/>
      <c r="F898" s="62"/>
      <c r="G898" s="62"/>
      <c r="H898" s="43"/>
    </row>
    <row r="899" spans="1:8" s="55" customFormat="1" ht="15.75" hidden="1" customHeight="1" x14ac:dyDescent="0.25">
      <c r="A899" s="354">
        <v>1</v>
      </c>
      <c r="B899" s="131" t="e">
        <f t="shared" si="25"/>
        <v>#REF!</v>
      </c>
      <c r="C899" s="14" t="s">
        <v>251</v>
      </c>
      <c r="D899" s="13"/>
      <c r="E899" s="508">
        <f>SUM(E900,E901,E905,E906,E907,E908)</f>
        <v>5232</v>
      </c>
      <c r="F899" s="62"/>
      <c r="G899" s="62"/>
      <c r="H899" s="43"/>
    </row>
    <row r="900" spans="1:8" s="55" customFormat="1" ht="15.75" hidden="1" customHeight="1" x14ac:dyDescent="0.25">
      <c r="A900" s="354">
        <v>1</v>
      </c>
      <c r="B900" s="131" t="e">
        <f t="shared" si="25"/>
        <v>#REF!</v>
      </c>
      <c r="C900" s="15" t="s">
        <v>252</v>
      </c>
      <c r="D900" s="13"/>
      <c r="E900" s="53"/>
      <c r="F900" s="62"/>
      <c r="G900" s="62"/>
      <c r="H900" s="43"/>
    </row>
    <row r="901" spans="1:8" s="55" customFormat="1" ht="30" hidden="1" customHeight="1" x14ac:dyDescent="0.25">
      <c r="A901" s="354">
        <v>1</v>
      </c>
      <c r="B901" s="131" t="e">
        <f t="shared" si="25"/>
        <v>#REF!</v>
      </c>
      <c r="C901" s="16" t="s">
        <v>388</v>
      </c>
      <c r="D901" s="13"/>
      <c r="E901" s="53"/>
      <c r="F901" s="62"/>
      <c r="G901" s="62"/>
      <c r="H901" s="43"/>
    </row>
    <row r="902" spans="1:8" s="145" customFormat="1" ht="15.75" hidden="1" customHeight="1" x14ac:dyDescent="0.25">
      <c r="A902" s="354">
        <v>1</v>
      </c>
      <c r="B902" s="131" t="e">
        <f t="shared" si="25"/>
        <v>#REF!</v>
      </c>
      <c r="C902" s="15" t="s">
        <v>389</v>
      </c>
      <c r="D902" s="13"/>
      <c r="E902" s="17"/>
      <c r="F902" s="10"/>
      <c r="G902" s="10"/>
      <c r="H902" s="10"/>
    </row>
    <row r="903" spans="1:8" s="55" customFormat="1" ht="30" hidden="1" customHeight="1" x14ac:dyDescent="0.25">
      <c r="A903" s="354">
        <v>1</v>
      </c>
      <c r="B903" s="131" t="e">
        <f t="shared" si="25"/>
        <v>#REF!</v>
      </c>
      <c r="C903" s="15" t="s">
        <v>390</v>
      </c>
      <c r="D903" s="13"/>
      <c r="E903" s="53"/>
      <c r="F903" s="62"/>
      <c r="G903" s="62"/>
      <c r="H903" s="43"/>
    </row>
    <row r="904" spans="1:8" s="55" customFormat="1" ht="45" hidden="1" customHeight="1" x14ac:dyDescent="0.25">
      <c r="A904" s="354">
        <v>1</v>
      </c>
      <c r="B904" s="131" t="e">
        <f t="shared" si="25"/>
        <v>#REF!</v>
      </c>
      <c r="C904" s="15" t="s">
        <v>391</v>
      </c>
      <c r="D904" s="13"/>
      <c r="E904" s="60"/>
      <c r="F904" s="62"/>
      <c r="G904" s="62"/>
      <c r="H904" s="43"/>
    </row>
    <row r="905" spans="1:8" s="55" customFormat="1" ht="45" hidden="1" customHeight="1" x14ac:dyDescent="0.25">
      <c r="A905" s="354">
        <v>1</v>
      </c>
      <c r="B905" s="131" t="e">
        <f t="shared" si="25"/>
        <v>#REF!</v>
      </c>
      <c r="C905" s="15" t="s">
        <v>392</v>
      </c>
      <c r="D905" s="13"/>
      <c r="E905" s="60"/>
      <c r="F905" s="62"/>
      <c r="G905" s="62"/>
      <c r="H905" s="43"/>
    </row>
    <row r="906" spans="1:8" s="55" customFormat="1" ht="45" hidden="1" customHeight="1" x14ac:dyDescent="0.25">
      <c r="A906" s="354">
        <v>1</v>
      </c>
      <c r="B906" s="131" t="e">
        <f t="shared" si="25"/>
        <v>#REF!</v>
      </c>
      <c r="C906" s="18" t="s">
        <v>393</v>
      </c>
      <c r="D906" s="13"/>
      <c r="E906" s="60"/>
      <c r="F906" s="62"/>
      <c r="G906" s="62"/>
      <c r="H906" s="43"/>
    </row>
    <row r="907" spans="1:8" s="55" customFormat="1" ht="75" hidden="1" customHeight="1" x14ac:dyDescent="0.25">
      <c r="A907" s="354">
        <v>1</v>
      </c>
      <c r="B907" s="131" t="e">
        <f t="shared" si="25"/>
        <v>#REF!</v>
      </c>
      <c r="C907" s="18" t="s">
        <v>394</v>
      </c>
      <c r="D907" s="13"/>
      <c r="E907" s="53">
        <v>50</v>
      </c>
      <c r="F907" s="62"/>
      <c r="G907" s="62"/>
      <c r="H907" s="43"/>
    </row>
    <row r="908" spans="1:8" s="55" customFormat="1" ht="30" hidden="1" customHeight="1" x14ac:dyDescent="0.25">
      <c r="A908" s="354">
        <v>1</v>
      </c>
      <c r="B908" s="131" t="e">
        <f t="shared" si="25"/>
        <v>#REF!</v>
      </c>
      <c r="C908" s="15" t="s">
        <v>395</v>
      </c>
      <c r="D908" s="13"/>
      <c r="E908" s="53">
        <v>5182</v>
      </c>
      <c r="F908" s="62"/>
      <c r="G908" s="62"/>
      <c r="H908" s="43"/>
    </row>
    <row r="909" spans="1:8" s="55" customFormat="1" ht="15.75" hidden="1" customHeight="1" x14ac:dyDescent="0.25">
      <c r="A909" s="354">
        <v>1</v>
      </c>
      <c r="B909" s="131" t="e">
        <f t="shared" si="25"/>
        <v>#REF!</v>
      </c>
      <c r="C909" s="14" t="s">
        <v>253</v>
      </c>
      <c r="D909" s="13"/>
      <c r="E909" s="68"/>
      <c r="F909" s="62"/>
      <c r="G909" s="62"/>
      <c r="H909" s="43"/>
    </row>
    <row r="910" spans="1:8" s="55" customFormat="1" ht="15.75" hidden="1" customHeight="1" x14ac:dyDescent="0.25">
      <c r="A910" s="354">
        <v>1</v>
      </c>
      <c r="B910" s="131" t="e">
        <f t="shared" si="25"/>
        <v>#REF!</v>
      </c>
      <c r="C910" s="14" t="s">
        <v>254</v>
      </c>
      <c r="D910" s="13"/>
      <c r="E910" s="53"/>
      <c r="F910" s="62"/>
      <c r="G910" s="62"/>
      <c r="H910" s="43"/>
    </row>
    <row r="911" spans="1:8" s="55" customFormat="1" ht="15.75" hidden="1" customHeight="1" x14ac:dyDescent="0.25">
      <c r="A911" s="354">
        <v>1</v>
      </c>
      <c r="B911" s="131" t="e">
        <f t="shared" si="25"/>
        <v>#REF!</v>
      </c>
      <c r="C911" s="15" t="s">
        <v>255</v>
      </c>
      <c r="D911" s="13"/>
      <c r="E911" s="53"/>
      <c r="F911" s="62"/>
      <c r="G911" s="62"/>
      <c r="H911" s="43"/>
    </row>
    <row r="912" spans="1:8" s="55" customFormat="1" ht="15.75" hidden="1" customHeight="1" x14ac:dyDescent="0.25">
      <c r="A912" s="354">
        <v>1</v>
      </c>
      <c r="B912" s="131" t="e">
        <f t="shared" si="25"/>
        <v>#REF!</v>
      </c>
      <c r="C912" s="42" t="s">
        <v>261</v>
      </c>
      <c r="D912" s="13"/>
      <c r="E912" s="550"/>
      <c r="F912" s="62"/>
      <c r="G912" s="62"/>
      <c r="H912" s="43"/>
    </row>
    <row r="913" spans="1:8" s="55" customFormat="1" ht="29.25" hidden="1" customHeight="1" x14ac:dyDescent="0.25">
      <c r="A913" s="354">
        <v>1</v>
      </c>
      <c r="B913" s="131" t="e">
        <f t="shared" si="25"/>
        <v>#REF!</v>
      </c>
      <c r="C913" s="14" t="s">
        <v>256</v>
      </c>
      <c r="D913" s="13"/>
      <c r="E913" s="550">
        <v>13000</v>
      </c>
      <c r="F913" s="62"/>
      <c r="G913" s="62"/>
      <c r="H913" s="43"/>
    </row>
    <row r="914" spans="1:8" s="55" customFormat="1" ht="15.75" hidden="1" customHeight="1" x14ac:dyDescent="0.25">
      <c r="A914" s="354">
        <v>1</v>
      </c>
      <c r="B914" s="131" t="e">
        <f t="shared" si="25"/>
        <v>#REF!</v>
      </c>
      <c r="C914" s="19" t="s">
        <v>117</v>
      </c>
      <c r="D914" s="13"/>
      <c r="E914" s="550"/>
      <c r="F914" s="62"/>
      <c r="G914" s="62"/>
      <c r="H914" s="43"/>
    </row>
    <row r="915" spans="1:8" s="55" customFormat="1" ht="57.75" hidden="1" customHeight="1" x14ac:dyDescent="0.25">
      <c r="A915" s="354">
        <v>1</v>
      </c>
      <c r="B915" s="131" t="e">
        <f t="shared" si="25"/>
        <v>#REF!</v>
      </c>
      <c r="C915" s="48" t="s">
        <v>259</v>
      </c>
      <c r="D915" s="13"/>
      <c r="E915" s="550"/>
      <c r="F915" s="62"/>
      <c r="G915" s="62"/>
      <c r="H915" s="43"/>
    </row>
    <row r="916" spans="1:8" s="55" customFormat="1" ht="29.25" hidden="1" customHeight="1" x14ac:dyDescent="0.25">
      <c r="A916" s="354">
        <v>1</v>
      </c>
      <c r="B916" s="131" t="e">
        <f t="shared" si="25"/>
        <v>#REF!</v>
      </c>
      <c r="C916" s="423" t="s">
        <v>266</v>
      </c>
      <c r="D916" s="13"/>
      <c r="E916" s="560"/>
      <c r="F916" s="62"/>
      <c r="G916" s="62"/>
      <c r="H916" s="43"/>
    </row>
    <row r="917" spans="1:8" s="55" customFormat="1" ht="15.75" hidden="1" customHeight="1" x14ac:dyDescent="0.25">
      <c r="A917" s="354">
        <v>1</v>
      </c>
      <c r="B917" s="131" t="e">
        <f t="shared" si="25"/>
        <v>#REF!</v>
      </c>
      <c r="C917" s="439" t="s">
        <v>165</v>
      </c>
      <c r="D917" s="13"/>
      <c r="E917" s="53">
        <f>E918+E919+E920+E921</f>
        <v>3650</v>
      </c>
      <c r="F917" s="62"/>
      <c r="G917" s="62"/>
      <c r="H917" s="43"/>
    </row>
    <row r="918" spans="1:8" s="55" customFormat="1" ht="32.25" hidden="1" customHeight="1" x14ac:dyDescent="0.25">
      <c r="A918" s="354">
        <v>1</v>
      </c>
      <c r="B918" s="131" t="e">
        <f t="shared" si="25"/>
        <v>#REF!</v>
      </c>
      <c r="C918" s="212" t="s">
        <v>416</v>
      </c>
      <c r="D918" s="59"/>
      <c r="E918" s="68">
        <v>850</v>
      </c>
      <c r="F918" s="62"/>
      <c r="G918" s="62"/>
      <c r="H918" s="43"/>
    </row>
    <row r="919" spans="1:8" s="55" customFormat="1" ht="30" hidden="1" customHeight="1" x14ac:dyDescent="0.25">
      <c r="A919" s="354">
        <v>1</v>
      </c>
      <c r="B919" s="131" t="e">
        <f t="shared" si="25"/>
        <v>#REF!</v>
      </c>
      <c r="C919" s="147" t="s">
        <v>204</v>
      </c>
      <c r="D919" s="13"/>
      <c r="E919" s="53">
        <v>1050</v>
      </c>
      <c r="F919" s="62"/>
      <c r="G919" s="62"/>
      <c r="H919" s="43"/>
    </row>
    <row r="920" spans="1:8" s="55" customFormat="1" ht="30" hidden="1" customHeight="1" x14ac:dyDescent="0.25">
      <c r="A920" s="354">
        <v>1</v>
      </c>
      <c r="B920" s="131" t="e">
        <f t="shared" si="25"/>
        <v>#REF!</v>
      </c>
      <c r="C920" s="561" t="s">
        <v>205</v>
      </c>
      <c r="D920" s="13"/>
      <c r="E920" s="498">
        <v>850</v>
      </c>
      <c r="F920" s="62"/>
      <c r="G920" s="62"/>
      <c r="H920" s="43"/>
    </row>
    <row r="921" spans="1:8" s="55" customFormat="1" ht="15.75" hidden="1" customHeight="1" x14ac:dyDescent="0.25">
      <c r="A921" s="354">
        <v>1</v>
      </c>
      <c r="B921" s="131" t="e">
        <f t="shared" si="25"/>
        <v>#REF!</v>
      </c>
      <c r="C921" s="539" t="s">
        <v>31</v>
      </c>
      <c r="D921" s="59"/>
      <c r="E921" s="68">
        <v>900</v>
      </c>
      <c r="F921" s="62"/>
      <c r="G921" s="62"/>
      <c r="H921" s="43"/>
    </row>
    <row r="922" spans="1:8" s="55" customFormat="1" ht="43.5" hidden="1" customHeight="1" x14ac:dyDescent="0.25">
      <c r="A922" s="354">
        <v>1</v>
      </c>
      <c r="B922" s="131" t="e">
        <f t="shared" si="25"/>
        <v>#REF!</v>
      </c>
      <c r="C922" s="21" t="s">
        <v>396</v>
      </c>
      <c r="D922" s="59"/>
      <c r="E922" s="68">
        <f>E886</f>
        <v>17250</v>
      </c>
      <c r="F922" s="373"/>
      <c r="G922" s="373"/>
      <c r="H922" s="29"/>
    </row>
    <row r="923" spans="1:8" ht="15.75" hidden="1" customHeight="1" x14ac:dyDescent="0.25">
      <c r="A923" s="354">
        <v>1</v>
      </c>
      <c r="B923" s="131" t="e">
        <f t="shared" si="25"/>
        <v>#REF!</v>
      </c>
      <c r="C923" s="21" t="s">
        <v>195</v>
      </c>
      <c r="D923" s="13"/>
      <c r="E923" s="508">
        <f>E899+E875</f>
        <v>43282</v>
      </c>
      <c r="F923" s="549"/>
      <c r="G923" s="2"/>
      <c r="H923" s="2"/>
    </row>
    <row r="924" spans="1:8" s="55" customFormat="1" ht="29.25" hidden="1" customHeight="1" x14ac:dyDescent="0.25">
      <c r="A924" s="354">
        <v>1</v>
      </c>
      <c r="B924" s="131" t="e">
        <f t="shared" si="25"/>
        <v>#REF!</v>
      </c>
      <c r="C924" s="21" t="s">
        <v>196</v>
      </c>
      <c r="D924" s="13"/>
      <c r="E924" s="508">
        <f>E887</f>
        <v>25660</v>
      </c>
      <c r="F924" s="62"/>
      <c r="G924" s="62"/>
      <c r="H924" s="43"/>
    </row>
    <row r="925" spans="1:8" s="55" customFormat="1" ht="15.75" hidden="1" customHeight="1" x14ac:dyDescent="0.25">
      <c r="A925" s="354">
        <v>1</v>
      </c>
      <c r="B925" s="131" t="e">
        <f t="shared" si="25"/>
        <v>#REF!</v>
      </c>
      <c r="C925" s="21" t="s">
        <v>197</v>
      </c>
      <c r="D925" s="13"/>
      <c r="E925" s="508">
        <f>E909+E881</f>
        <v>40000</v>
      </c>
      <c r="F925" s="62"/>
      <c r="G925" s="62"/>
      <c r="H925" s="43"/>
    </row>
    <row r="926" spans="1:8" s="55" customFormat="1" ht="29.25" hidden="1" customHeight="1" x14ac:dyDescent="0.25">
      <c r="A926" s="354">
        <v>1</v>
      </c>
      <c r="B926" s="131" t="e">
        <f t="shared" si="25"/>
        <v>#REF!</v>
      </c>
      <c r="C926" s="21" t="s">
        <v>198</v>
      </c>
      <c r="D926" s="13"/>
      <c r="E926" s="508">
        <f>E913</f>
        <v>13000</v>
      </c>
      <c r="F926" s="62"/>
      <c r="G926" s="62"/>
      <c r="H926" s="43"/>
    </row>
    <row r="927" spans="1:8" s="55" customFormat="1" ht="15.75" hidden="1" customHeight="1" x14ac:dyDescent="0.25">
      <c r="A927" s="354">
        <v>1</v>
      </c>
      <c r="B927" s="131" t="e">
        <f t="shared" si="25"/>
        <v>#REF!</v>
      </c>
      <c r="C927" s="22" t="s">
        <v>112</v>
      </c>
      <c r="D927" s="13"/>
      <c r="E927" s="508">
        <f>E923+E924+E926+E925*2.6+E922*2.6</f>
        <v>230792</v>
      </c>
      <c r="F927" s="62"/>
      <c r="G927" s="62"/>
      <c r="H927" s="43"/>
    </row>
    <row r="928" spans="1:8" ht="15.75" hidden="1" customHeight="1" x14ac:dyDescent="0.25">
      <c r="A928" s="354">
        <v>1</v>
      </c>
      <c r="B928" s="131" t="e">
        <f t="shared" si="25"/>
        <v>#REF!</v>
      </c>
      <c r="C928" s="44" t="s">
        <v>7</v>
      </c>
      <c r="D928" s="380"/>
      <c r="E928" s="469"/>
      <c r="F928" s="549"/>
      <c r="G928" s="2"/>
      <c r="H928" s="2"/>
    </row>
    <row r="929" spans="1:8" ht="15.75" hidden="1" customHeight="1" x14ac:dyDescent="0.25">
      <c r="A929" s="354">
        <v>1</v>
      </c>
      <c r="B929" s="131" t="e">
        <f t="shared" si="25"/>
        <v>#REF!</v>
      </c>
      <c r="C929" s="293" t="s">
        <v>71</v>
      </c>
      <c r="D929" s="380"/>
      <c r="E929" s="469"/>
      <c r="F929" s="549"/>
      <c r="G929" s="2"/>
      <c r="H929" s="2"/>
    </row>
    <row r="930" spans="1:8" ht="15.75" hidden="1" customHeight="1" x14ac:dyDescent="0.25">
      <c r="A930" s="354">
        <v>1</v>
      </c>
      <c r="B930" s="131" t="e">
        <f t="shared" si="25"/>
        <v>#REF!</v>
      </c>
      <c r="C930" s="539" t="s">
        <v>55</v>
      </c>
      <c r="D930" s="52">
        <v>240</v>
      </c>
      <c r="E930" s="53">
        <v>622</v>
      </c>
      <c r="F930" s="47">
        <v>9</v>
      </c>
      <c r="G930" s="2">
        <f>ROUND(H930/D930,0)</f>
        <v>23</v>
      </c>
      <c r="H930" s="2">
        <f>ROUND(E930*F930,0)</f>
        <v>5598</v>
      </c>
    </row>
    <row r="931" spans="1:8" ht="15.75" hidden="1" customHeight="1" x14ac:dyDescent="0.25">
      <c r="A931" s="354">
        <v>1</v>
      </c>
      <c r="B931" s="131" t="e">
        <f t="shared" ref="B931:B994" si="27">B930+1</f>
        <v>#REF!</v>
      </c>
      <c r="C931" s="539" t="s">
        <v>35</v>
      </c>
      <c r="D931" s="52">
        <v>240</v>
      </c>
      <c r="E931" s="53">
        <v>1455</v>
      </c>
      <c r="F931" s="47">
        <v>8</v>
      </c>
      <c r="G931" s="2">
        <f>ROUND(H931/D931,0)</f>
        <v>49</v>
      </c>
      <c r="H931" s="2">
        <f>ROUND(E931*F931,0)</f>
        <v>11640</v>
      </c>
    </row>
    <row r="932" spans="1:8" ht="15.75" hidden="1" customHeight="1" x14ac:dyDescent="0.25">
      <c r="A932" s="354">
        <v>1</v>
      </c>
      <c r="B932" s="131" t="e">
        <f t="shared" si="27"/>
        <v>#REF!</v>
      </c>
      <c r="C932" s="547" t="s">
        <v>94</v>
      </c>
      <c r="D932" s="63"/>
      <c r="E932" s="506">
        <f>SUM(E930:E931)</f>
        <v>2077</v>
      </c>
      <c r="F932" s="525">
        <f>H932/E932</f>
        <v>8.2994703899855562</v>
      </c>
      <c r="G932" s="31">
        <f>SUM(G930:G931)</f>
        <v>72</v>
      </c>
      <c r="H932" s="31">
        <f>SUM(H930:H931)</f>
        <v>17238</v>
      </c>
    </row>
    <row r="933" spans="1:8" ht="15.75" hidden="1" customHeight="1" x14ac:dyDescent="0.25">
      <c r="A933" s="354">
        <v>1</v>
      </c>
      <c r="B933" s="131" t="e">
        <f t="shared" si="27"/>
        <v>#REF!</v>
      </c>
      <c r="C933" s="548" t="s">
        <v>88</v>
      </c>
      <c r="D933" s="378"/>
      <c r="E933" s="518">
        <f>E932</f>
        <v>2077</v>
      </c>
      <c r="F933" s="75">
        <f>F932</f>
        <v>8.2994703899855562</v>
      </c>
      <c r="G933" s="289">
        <f>G932</f>
        <v>72</v>
      </c>
      <c r="H933" s="289">
        <f>H932</f>
        <v>17238</v>
      </c>
    </row>
    <row r="934" spans="1:8" ht="16.5" hidden="1" customHeight="1" thickBot="1" x14ac:dyDescent="0.3">
      <c r="A934" s="354">
        <v>1</v>
      </c>
      <c r="B934" s="131" t="e">
        <f t="shared" si="27"/>
        <v>#REF!</v>
      </c>
      <c r="C934" s="495" t="s">
        <v>213</v>
      </c>
      <c r="D934" s="510"/>
      <c r="E934" s="511"/>
      <c r="F934" s="510"/>
      <c r="G934" s="510"/>
      <c r="H934" s="510"/>
    </row>
    <row r="935" spans="1:8" ht="15.75" hidden="1" customHeight="1" x14ac:dyDescent="0.25">
      <c r="A935" s="354">
        <v>1</v>
      </c>
      <c r="B935" s="131" t="e">
        <f t="shared" si="27"/>
        <v>#REF!</v>
      </c>
      <c r="C935" s="562"/>
      <c r="D935" s="365"/>
      <c r="E935" s="493"/>
      <c r="F935" s="494"/>
      <c r="G935" s="494"/>
      <c r="H935" s="494"/>
    </row>
    <row r="936" spans="1:8" ht="29.25" hidden="1" customHeight="1" x14ac:dyDescent="0.25">
      <c r="A936" s="354">
        <v>1</v>
      </c>
      <c r="B936" s="131" t="e">
        <f t="shared" si="27"/>
        <v>#REF!</v>
      </c>
      <c r="C936" s="686" t="s">
        <v>362</v>
      </c>
      <c r="D936" s="63"/>
      <c r="E936" s="53"/>
      <c r="F936" s="2"/>
      <c r="G936" s="2"/>
      <c r="H936" s="2"/>
    </row>
    <row r="937" spans="1:8" ht="15.75" hidden="1" customHeight="1" x14ac:dyDescent="0.25">
      <c r="A937" s="354">
        <v>1</v>
      </c>
      <c r="B937" s="131" t="e">
        <f t="shared" si="27"/>
        <v>#REF!</v>
      </c>
      <c r="C937" s="67" t="s">
        <v>111</v>
      </c>
      <c r="D937" s="13"/>
      <c r="E937" s="53"/>
      <c r="F937" s="2"/>
      <c r="G937" s="2"/>
      <c r="H937" s="2"/>
    </row>
    <row r="938" spans="1:8" ht="15.75" hidden="1" customHeight="1" x14ac:dyDescent="0.25">
      <c r="A938" s="354">
        <v>1</v>
      </c>
      <c r="B938" s="131" t="e">
        <f t="shared" si="27"/>
        <v>#REF!</v>
      </c>
      <c r="C938" s="12" t="s">
        <v>98</v>
      </c>
      <c r="D938" s="13"/>
      <c r="E938" s="53"/>
      <c r="F938" s="2"/>
      <c r="G938" s="2"/>
      <c r="H938" s="2"/>
    </row>
    <row r="939" spans="1:8" ht="15.75" hidden="1" customHeight="1" x14ac:dyDescent="0.25">
      <c r="A939" s="354">
        <v>1</v>
      </c>
      <c r="B939" s="131" t="e">
        <f t="shared" si="27"/>
        <v>#REF!</v>
      </c>
      <c r="C939" s="14" t="s">
        <v>251</v>
      </c>
      <c r="D939" s="13"/>
      <c r="E939" s="53">
        <f>E940</f>
        <v>1600</v>
      </c>
      <c r="F939" s="2"/>
      <c r="G939" s="2"/>
      <c r="H939" s="2"/>
    </row>
    <row r="940" spans="1:8" ht="30" hidden="1" customHeight="1" x14ac:dyDescent="0.25">
      <c r="A940" s="354">
        <v>1</v>
      </c>
      <c r="B940" s="131" t="e">
        <f t="shared" si="27"/>
        <v>#REF!</v>
      </c>
      <c r="C940" s="264" t="s">
        <v>388</v>
      </c>
      <c r="D940" s="13"/>
      <c r="E940" s="53">
        <f>E941/4</f>
        <v>1600</v>
      </c>
      <c r="F940" s="2"/>
      <c r="G940" s="2"/>
      <c r="H940" s="2"/>
    </row>
    <row r="941" spans="1:8" ht="30" hidden="1" customHeight="1" x14ac:dyDescent="0.25">
      <c r="A941" s="354">
        <v>1</v>
      </c>
      <c r="B941" s="131" t="e">
        <f t="shared" si="27"/>
        <v>#REF!</v>
      </c>
      <c r="C941" s="15" t="s">
        <v>390</v>
      </c>
      <c r="D941" s="13"/>
      <c r="E941" s="53">
        <v>6400</v>
      </c>
      <c r="F941" s="2"/>
      <c r="G941" s="2"/>
      <c r="H941" s="2"/>
    </row>
    <row r="942" spans="1:8" ht="15.75" hidden="1" customHeight="1" x14ac:dyDescent="0.25">
      <c r="A942" s="354">
        <v>1</v>
      </c>
      <c r="B942" s="131" t="e">
        <f t="shared" si="27"/>
        <v>#REF!</v>
      </c>
      <c r="C942" s="14" t="s">
        <v>253</v>
      </c>
      <c r="D942" s="13"/>
      <c r="E942" s="53">
        <f>(E944+E945)/9.4</f>
        <v>44010.212765957447</v>
      </c>
      <c r="F942" s="2"/>
      <c r="G942" s="2"/>
      <c r="H942" s="2"/>
    </row>
    <row r="943" spans="1:8" ht="15.75" hidden="1" customHeight="1" x14ac:dyDescent="0.25">
      <c r="A943" s="354">
        <v>1</v>
      </c>
      <c r="B943" s="131" t="e">
        <f t="shared" si="27"/>
        <v>#REF!</v>
      </c>
      <c r="C943" s="15" t="s">
        <v>255</v>
      </c>
      <c r="D943" s="13"/>
      <c r="E943" s="53">
        <f>(E944+E945)/9.4</f>
        <v>44010.212765957447</v>
      </c>
      <c r="F943" s="2"/>
      <c r="G943" s="2"/>
      <c r="H943" s="2"/>
    </row>
    <row r="944" spans="1:8" ht="15.75" hidden="1" customHeight="1" x14ac:dyDescent="0.25">
      <c r="A944" s="354">
        <v>1</v>
      </c>
      <c r="B944" s="131" t="e">
        <f t="shared" si="27"/>
        <v>#REF!</v>
      </c>
      <c r="C944" s="42" t="s">
        <v>261</v>
      </c>
      <c r="D944" s="13"/>
      <c r="E944" s="53">
        <v>413696</v>
      </c>
      <c r="F944" s="2"/>
      <c r="G944" s="2"/>
      <c r="H944" s="2"/>
    </row>
    <row r="945" spans="1:8" ht="15.75" hidden="1" customHeight="1" x14ac:dyDescent="0.25">
      <c r="A945" s="354">
        <v>1</v>
      </c>
      <c r="B945" s="131" t="e">
        <f t="shared" si="27"/>
        <v>#REF!</v>
      </c>
      <c r="C945" s="42" t="s">
        <v>264</v>
      </c>
      <c r="D945" s="13"/>
      <c r="E945" s="53"/>
      <c r="F945" s="2"/>
      <c r="G945" s="2"/>
      <c r="H945" s="2"/>
    </row>
    <row r="946" spans="1:8" ht="15.75" hidden="1" customHeight="1" x14ac:dyDescent="0.25">
      <c r="A946" s="354">
        <v>1</v>
      </c>
      <c r="B946" s="131" t="e">
        <f t="shared" si="27"/>
        <v>#REF!</v>
      </c>
      <c r="C946" s="21" t="s">
        <v>195</v>
      </c>
      <c r="D946" s="24"/>
      <c r="E946" s="508">
        <f>E939</f>
        <v>1600</v>
      </c>
      <c r="F946" s="24"/>
      <c r="G946" s="24"/>
      <c r="H946" s="24"/>
    </row>
    <row r="947" spans="1:8" ht="15.75" hidden="1" customHeight="1" x14ac:dyDescent="0.25">
      <c r="A947" s="354">
        <v>1</v>
      </c>
      <c r="B947" s="131" t="e">
        <f t="shared" si="27"/>
        <v>#REF!</v>
      </c>
      <c r="C947" s="21" t="s">
        <v>197</v>
      </c>
      <c r="D947" s="13"/>
      <c r="E947" s="508">
        <f>E942</f>
        <v>44010.212765957447</v>
      </c>
      <c r="F947" s="2"/>
      <c r="G947" s="2"/>
      <c r="H947" s="2"/>
    </row>
    <row r="948" spans="1:8" ht="15.75" hidden="1" customHeight="1" x14ac:dyDescent="0.25">
      <c r="A948" s="354">
        <v>1</v>
      </c>
      <c r="B948" s="131" t="e">
        <f t="shared" si="27"/>
        <v>#REF!</v>
      </c>
      <c r="C948" s="22" t="s">
        <v>112</v>
      </c>
      <c r="D948" s="13"/>
      <c r="E948" s="508">
        <f>E939+E944/4.2+E945/4.2</f>
        <v>100099.04761904762</v>
      </c>
      <c r="F948" s="2"/>
      <c r="G948" s="2"/>
      <c r="H948" s="2"/>
    </row>
    <row r="949" spans="1:8" ht="16.5" hidden="1" customHeight="1" thickBot="1" x14ac:dyDescent="0.3">
      <c r="A949" s="354">
        <v>1</v>
      </c>
      <c r="B949" s="131" t="e">
        <f t="shared" si="27"/>
        <v>#REF!</v>
      </c>
      <c r="C949" s="488" t="s">
        <v>213</v>
      </c>
      <c r="D949" s="489"/>
      <c r="E949" s="543"/>
      <c r="F949" s="489"/>
      <c r="G949" s="489"/>
      <c r="H949" s="489"/>
    </row>
    <row r="950" spans="1:8" ht="15.75" hidden="1" customHeight="1" x14ac:dyDescent="0.25">
      <c r="A950" s="354">
        <v>1</v>
      </c>
      <c r="B950" s="131" t="e">
        <f t="shared" si="27"/>
        <v>#REF!</v>
      </c>
      <c r="C950" s="535"/>
      <c r="D950" s="365"/>
      <c r="E950" s="493"/>
      <c r="F950" s="494"/>
      <c r="G950" s="494"/>
      <c r="H950" s="494"/>
    </row>
    <row r="951" spans="1:8" ht="29.25" hidden="1" customHeight="1" x14ac:dyDescent="0.25">
      <c r="A951" s="354">
        <v>1</v>
      </c>
      <c r="B951" s="131" t="e">
        <f t="shared" si="27"/>
        <v>#REF!</v>
      </c>
      <c r="C951" s="686" t="s">
        <v>363</v>
      </c>
      <c r="D951" s="63"/>
      <c r="E951" s="53"/>
      <c r="F951" s="2"/>
      <c r="G951" s="2"/>
      <c r="H951" s="2"/>
    </row>
    <row r="952" spans="1:8" ht="15.75" hidden="1" customHeight="1" x14ac:dyDescent="0.25">
      <c r="A952" s="354">
        <v>1</v>
      </c>
      <c r="B952" s="131" t="e">
        <f t="shared" si="27"/>
        <v>#REF!</v>
      </c>
      <c r="C952" s="67" t="s">
        <v>6</v>
      </c>
      <c r="D952" s="13"/>
      <c r="E952" s="53"/>
      <c r="F952" s="2"/>
      <c r="G952" s="2"/>
      <c r="H952" s="2"/>
    </row>
    <row r="953" spans="1:8" ht="15.75" hidden="1" customHeight="1" x14ac:dyDescent="0.25">
      <c r="A953" s="354">
        <v>1</v>
      </c>
      <c r="B953" s="131" t="e">
        <f t="shared" si="27"/>
        <v>#REF!</v>
      </c>
      <c r="C953" s="12" t="s">
        <v>98</v>
      </c>
      <c r="D953" s="13"/>
      <c r="E953" s="53"/>
      <c r="F953" s="2"/>
      <c r="G953" s="2"/>
      <c r="H953" s="2"/>
    </row>
    <row r="954" spans="1:8" ht="15.75" hidden="1" customHeight="1" x14ac:dyDescent="0.25">
      <c r="A954" s="354">
        <v>1</v>
      </c>
      <c r="B954" s="131" t="e">
        <f t="shared" si="27"/>
        <v>#REF!</v>
      </c>
      <c r="C954" s="14" t="s">
        <v>251</v>
      </c>
      <c r="D954" s="13"/>
      <c r="E954" s="53">
        <f>E955</f>
        <v>12120</v>
      </c>
      <c r="F954" s="2"/>
      <c r="G954" s="2"/>
      <c r="H954" s="2"/>
    </row>
    <row r="955" spans="1:8" ht="30" hidden="1" customHeight="1" x14ac:dyDescent="0.25">
      <c r="A955" s="354">
        <v>1</v>
      </c>
      <c r="B955" s="131" t="e">
        <f t="shared" si="27"/>
        <v>#REF!</v>
      </c>
      <c r="C955" s="264" t="s">
        <v>388</v>
      </c>
      <c r="D955" s="13"/>
      <c r="E955" s="53">
        <f>E956/4</f>
        <v>12120</v>
      </c>
      <c r="F955" s="2"/>
      <c r="G955" s="2"/>
      <c r="H955" s="2"/>
    </row>
    <row r="956" spans="1:8" ht="30" hidden="1" customHeight="1" x14ac:dyDescent="0.25">
      <c r="A956" s="354">
        <v>1</v>
      </c>
      <c r="B956" s="131" t="e">
        <f t="shared" si="27"/>
        <v>#REF!</v>
      </c>
      <c r="C956" s="15" t="s">
        <v>390</v>
      </c>
      <c r="D956" s="13"/>
      <c r="E956" s="53">
        <v>48480</v>
      </c>
      <c r="F956" s="2"/>
      <c r="G956" s="2"/>
      <c r="H956" s="2"/>
    </row>
    <row r="957" spans="1:8" ht="15.75" hidden="1" customHeight="1" x14ac:dyDescent="0.25">
      <c r="A957" s="354">
        <v>1</v>
      </c>
      <c r="B957" s="131" t="e">
        <f t="shared" si="27"/>
        <v>#REF!</v>
      </c>
      <c r="C957" s="14" t="s">
        <v>253</v>
      </c>
      <c r="D957" s="13"/>
      <c r="E957" s="53">
        <f>E958</f>
        <v>29320</v>
      </c>
      <c r="F957" s="2"/>
      <c r="G957" s="2"/>
      <c r="H957" s="2"/>
    </row>
    <row r="958" spans="1:8" ht="15.75" hidden="1" customHeight="1" x14ac:dyDescent="0.25">
      <c r="A958" s="354">
        <v>1</v>
      </c>
      <c r="B958" s="131" t="e">
        <f t="shared" si="27"/>
        <v>#REF!</v>
      </c>
      <c r="C958" s="15" t="s">
        <v>255</v>
      </c>
      <c r="D958" s="13"/>
      <c r="E958" s="53">
        <f>E959/9.4+E960/9.4</f>
        <v>29320</v>
      </c>
      <c r="F958" s="2"/>
      <c r="G958" s="2"/>
      <c r="H958" s="2"/>
    </row>
    <row r="959" spans="1:8" ht="15.75" hidden="1" customHeight="1" x14ac:dyDescent="0.25">
      <c r="A959" s="354">
        <v>1</v>
      </c>
      <c r="B959" s="131" t="e">
        <f t="shared" si="27"/>
        <v>#REF!</v>
      </c>
      <c r="C959" s="42" t="s">
        <v>261</v>
      </c>
      <c r="D959" s="13"/>
      <c r="E959" s="53">
        <v>271608</v>
      </c>
      <c r="F959" s="2"/>
      <c r="G959" s="2"/>
      <c r="H959" s="2"/>
    </row>
    <row r="960" spans="1:8" ht="15.75" hidden="1" customHeight="1" x14ac:dyDescent="0.25">
      <c r="A960" s="354">
        <v>1</v>
      </c>
      <c r="B960" s="131" t="e">
        <f t="shared" si="27"/>
        <v>#REF!</v>
      </c>
      <c r="C960" s="42" t="s">
        <v>264</v>
      </c>
      <c r="D960" s="13"/>
      <c r="E960" s="53">
        <v>4000</v>
      </c>
      <c r="F960" s="2"/>
      <c r="G960" s="2"/>
      <c r="H960" s="2"/>
    </row>
    <row r="961" spans="1:8" ht="15.75" hidden="1" customHeight="1" x14ac:dyDescent="0.25">
      <c r="A961" s="354">
        <v>1</v>
      </c>
      <c r="B961" s="131" t="e">
        <f t="shared" si="27"/>
        <v>#REF!</v>
      </c>
      <c r="C961" s="21" t="s">
        <v>195</v>
      </c>
      <c r="D961" s="24"/>
      <c r="E961" s="508">
        <f>E954</f>
        <v>12120</v>
      </c>
      <c r="F961" s="24"/>
      <c r="G961" s="24"/>
      <c r="H961" s="24"/>
    </row>
    <row r="962" spans="1:8" ht="15.75" hidden="1" customHeight="1" x14ac:dyDescent="0.25">
      <c r="A962" s="354">
        <v>1</v>
      </c>
      <c r="B962" s="131" t="e">
        <f t="shared" si="27"/>
        <v>#REF!</v>
      </c>
      <c r="C962" s="21" t="s">
        <v>197</v>
      </c>
      <c r="D962" s="13"/>
      <c r="E962" s="508">
        <f>E957</f>
        <v>29320</v>
      </c>
      <c r="F962" s="2"/>
      <c r="G962" s="2"/>
      <c r="H962" s="2"/>
    </row>
    <row r="963" spans="1:8" ht="15.75" hidden="1" customHeight="1" x14ac:dyDescent="0.25">
      <c r="A963" s="354">
        <v>1</v>
      </c>
      <c r="B963" s="131" t="e">
        <f t="shared" si="27"/>
        <v>#REF!</v>
      </c>
      <c r="C963" s="22" t="s">
        <v>112</v>
      </c>
      <c r="D963" s="13"/>
      <c r="E963" s="508">
        <f>E961+(E959+E960)/4.2</f>
        <v>77740.952380952382</v>
      </c>
      <c r="F963" s="2"/>
      <c r="G963" s="2"/>
      <c r="H963" s="2"/>
    </row>
    <row r="964" spans="1:8" ht="16.5" hidden="1" customHeight="1" thickBot="1" x14ac:dyDescent="0.3">
      <c r="A964" s="354">
        <v>1</v>
      </c>
      <c r="B964" s="131" t="e">
        <f t="shared" si="27"/>
        <v>#REF!</v>
      </c>
      <c r="C964" s="488" t="s">
        <v>213</v>
      </c>
      <c r="D964" s="489"/>
      <c r="E964" s="543"/>
      <c r="F964" s="489"/>
      <c r="G964" s="489"/>
      <c r="H964" s="489"/>
    </row>
    <row r="965" spans="1:8" ht="16.5" hidden="1" customHeight="1" thickBot="1" x14ac:dyDescent="0.3">
      <c r="A965" s="354">
        <v>1</v>
      </c>
      <c r="B965" s="131" t="e">
        <f t="shared" si="27"/>
        <v>#REF!</v>
      </c>
      <c r="C965" s="535"/>
      <c r="D965" s="365"/>
      <c r="E965" s="493"/>
      <c r="F965" s="494"/>
      <c r="G965" s="494"/>
      <c r="H965" s="494"/>
    </row>
    <row r="966" spans="1:8" ht="15.75" hidden="1" customHeight="1" x14ac:dyDescent="0.25">
      <c r="A966" s="354">
        <v>1</v>
      </c>
      <c r="B966" s="131" t="e">
        <f t="shared" si="27"/>
        <v>#REF!</v>
      </c>
      <c r="C966" s="563"/>
      <c r="D966" s="375"/>
      <c r="E966" s="493"/>
      <c r="F966" s="494"/>
      <c r="G966" s="494"/>
      <c r="H966" s="494"/>
    </row>
    <row r="967" spans="1:8" ht="43.5" hidden="1" customHeight="1" x14ac:dyDescent="0.25">
      <c r="A967" s="354">
        <v>1</v>
      </c>
      <c r="B967" s="131" t="e">
        <f t="shared" si="27"/>
        <v>#REF!</v>
      </c>
      <c r="C967" s="686" t="s">
        <v>364</v>
      </c>
      <c r="D967" s="52"/>
      <c r="E967" s="53"/>
      <c r="F967" s="2"/>
      <c r="G967" s="2"/>
      <c r="H967" s="2"/>
    </row>
    <row r="968" spans="1:8" ht="15.75" hidden="1" customHeight="1" x14ac:dyDescent="0.25">
      <c r="A968" s="354">
        <v>1</v>
      </c>
      <c r="B968" s="131" t="e">
        <f t="shared" si="27"/>
        <v>#REF!</v>
      </c>
      <c r="C968" s="67" t="s">
        <v>111</v>
      </c>
      <c r="D968" s="13"/>
      <c r="E968" s="53"/>
      <c r="F968" s="2"/>
      <c r="G968" s="2"/>
      <c r="H968" s="2"/>
    </row>
    <row r="969" spans="1:8" ht="15.75" hidden="1" customHeight="1" x14ac:dyDescent="0.25">
      <c r="A969" s="354">
        <v>1</v>
      </c>
      <c r="B969" s="131" t="e">
        <f t="shared" si="27"/>
        <v>#REF!</v>
      </c>
      <c r="C969" s="12" t="s">
        <v>98</v>
      </c>
      <c r="D969" s="13"/>
      <c r="E969" s="53"/>
      <c r="F969" s="2"/>
      <c r="G969" s="2"/>
      <c r="H969" s="2"/>
    </row>
    <row r="970" spans="1:8" ht="15.75" hidden="1" customHeight="1" x14ac:dyDescent="0.25">
      <c r="A970" s="354">
        <v>1</v>
      </c>
      <c r="B970" s="131" t="e">
        <f t="shared" si="27"/>
        <v>#REF!</v>
      </c>
      <c r="C970" s="14" t="s">
        <v>251</v>
      </c>
      <c r="D970" s="13"/>
      <c r="E970" s="508">
        <f>E971</f>
        <v>2500</v>
      </c>
      <c r="F970" s="2"/>
      <c r="G970" s="2"/>
      <c r="H970" s="2"/>
    </row>
    <row r="971" spans="1:8" ht="30" hidden="1" customHeight="1" x14ac:dyDescent="0.25">
      <c r="A971" s="354">
        <v>1</v>
      </c>
      <c r="B971" s="131" t="e">
        <f t="shared" si="27"/>
        <v>#REF!</v>
      </c>
      <c r="C971" s="264" t="s">
        <v>388</v>
      </c>
      <c r="D971" s="13"/>
      <c r="E971" s="53">
        <f>E972/4</f>
        <v>2500</v>
      </c>
      <c r="F971" s="2"/>
      <c r="G971" s="2"/>
      <c r="H971" s="2"/>
    </row>
    <row r="972" spans="1:8" ht="30" hidden="1" customHeight="1" x14ac:dyDescent="0.25">
      <c r="A972" s="354">
        <v>1</v>
      </c>
      <c r="B972" s="131" t="e">
        <f t="shared" si="27"/>
        <v>#REF!</v>
      </c>
      <c r="C972" s="15" t="s">
        <v>390</v>
      </c>
      <c r="D972" s="13"/>
      <c r="E972" s="53">
        <v>10000</v>
      </c>
      <c r="F972" s="2"/>
      <c r="G972" s="2"/>
      <c r="H972" s="2"/>
    </row>
    <row r="973" spans="1:8" ht="15.75" hidden="1" customHeight="1" x14ac:dyDescent="0.25">
      <c r="A973" s="354">
        <v>1</v>
      </c>
      <c r="B973" s="131" t="e">
        <f t="shared" si="27"/>
        <v>#REF!</v>
      </c>
      <c r="C973" s="14" t="s">
        <v>253</v>
      </c>
      <c r="D973" s="13"/>
      <c r="E973" s="53">
        <f>E974</f>
        <v>33970</v>
      </c>
      <c r="F973" s="2"/>
      <c r="G973" s="2"/>
      <c r="H973" s="2"/>
    </row>
    <row r="974" spans="1:8" ht="15.75" hidden="1" customHeight="1" x14ac:dyDescent="0.25">
      <c r="A974" s="354">
        <v>1</v>
      </c>
      <c r="B974" s="131" t="e">
        <f t="shared" si="27"/>
        <v>#REF!</v>
      </c>
      <c r="C974" s="15" t="s">
        <v>255</v>
      </c>
      <c r="D974" s="13"/>
      <c r="E974" s="508">
        <f>E975/9.4+E976/9.4</f>
        <v>33970</v>
      </c>
      <c r="F974" s="2"/>
      <c r="G974" s="2"/>
      <c r="H974" s="2"/>
    </row>
    <row r="975" spans="1:8" ht="15.75" hidden="1" customHeight="1" x14ac:dyDescent="0.25">
      <c r="A975" s="354">
        <v>1</v>
      </c>
      <c r="B975" s="131" t="e">
        <f t="shared" si="27"/>
        <v>#REF!</v>
      </c>
      <c r="C975" s="42" t="s">
        <v>261</v>
      </c>
      <c r="D975" s="24"/>
      <c r="E975" s="53">
        <v>315818</v>
      </c>
      <c r="F975" s="24"/>
      <c r="G975" s="24"/>
      <c r="H975" s="24"/>
    </row>
    <row r="976" spans="1:8" ht="15.75" hidden="1" customHeight="1" x14ac:dyDescent="0.25">
      <c r="A976" s="354">
        <v>1</v>
      </c>
      <c r="B976" s="131" t="e">
        <f t="shared" si="27"/>
        <v>#REF!</v>
      </c>
      <c r="C976" s="42" t="s">
        <v>264</v>
      </c>
      <c r="D976" s="13"/>
      <c r="E976" s="53">
        <v>3500</v>
      </c>
      <c r="F976" s="2"/>
      <c r="G976" s="2"/>
      <c r="H976" s="2"/>
    </row>
    <row r="977" spans="1:8" ht="15.75" hidden="1" customHeight="1" x14ac:dyDescent="0.25">
      <c r="A977" s="354">
        <v>1</v>
      </c>
      <c r="B977" s="131" t="e">
        <f t="shared" si="27"/>
        <v>#REF!</v>
      </c>
      <c r="C977" s="21" t="s">
        <v>195</v>
      </c>
      <c r="D977" s="13"/>
      <c r="E977" s="508">
        <f>E970</f>
        <v>2500</v>
      </c>
      <c r="F977" s="2"/>
      <c r="G977" s="2"/>
      <c r="H977" s="2"/>
    </row>
    <row r="978" spans="1:8" ht="15.75" hidden="1" customHeight="1" x14ac:dyDescent="0.25">
      <c r="A978" s="354">
        <v>1</v>
      </c>
      <c r="B978" s="131" t="e">
        <f t="shared" si="27"/>
        <v>#REF!</v>
      </c>
      <c r="C978" s="21" t="s">
        <v>197</v>
      </c>
      <c r="D978" s="13"/>
      <c r="E978" s="508">
        <f>E973</f>
        <v>33970</v>
      </c>
      <c r="F978" s="2"/>
      <c r="G978" s="2"/>
      <c r="H978" s="2"/>
    </row>
    <row r="979" spans="1:8" ht="15.75" hidden="1" customHeight="1" x14ac:dyDescent="0.25">
      <c r="A979" s="354">
        <v>1</v>
      </c>
      <c r="B979" s="131" t="e">
        <f t="shared" si="27"/>
        <v>#REF!</v>
      </c>
      <c r="C979" s="22" t="s">
        <v>112</v>
      </c>
      <c r="D979" s="13"/>
      <c r="E979" s="508">
        <f>E977+(E975+E976)/4.2</f>
        <v>78528.095238095237</v>
      </c>
      <c r="F979" s="2"/>
      <c r="G979" s="2"/>
      <c r="H979" s="2"/>
    </row>
    <row r="980" spans="1:8" ht="16.5" hidden="1" customHeight="1" thickBot="1" x14ac:dyDescent="0.3">
      <c r="A980" s="354">
        <v>1</v>
      </c>
      <c r="B980" s="131" t="e">
        <f t="shared" si="27"/>
        <v>#REF!</v>
      </c>
      <c r="C980" s="495" t="s">
        <v>213</v>
      </c>
      <c r="D980" s="370"/>
      <c r="E980" s="564"/>
      <c r="F980" s="565"/>
      <c r="G980" s="565"/>
      <c r="H980" s="565"/>
    </row>
    <row r="981" spans="1:8" ht="29.25" hidden="1" customHeight="1" x14ac:dyDescent="0.25">
      <c r="A981" s="354">
        <v>1</v>
      </c>
      <c r="B981" s="131" t="e">
        <f t="shared" si="27"/>
        <v>#REF!</v>
      </c>
      <c r="C981" s="686" t="s">
        <v>365</v>
      </c>
      <c r="D981" s="371"/>
      <c r="E981" s="53"/>
      <c r="F981" s="2"/>
      <c r="G981" s="2"/>
      <c r="H981" s="2"/>
    </row>
    <row r="982" spans="1:8" s="55" customFormat="1" ht="48.75" hidden="1" customHeight="1" x14ac:dyDescent="0.25">
      <c r="A982" s="354">
        <v>1</v>
      </c>
      <c r="B982" s="131" t="e">
        <f t="shared" si="27"/>
        <v>#REF!</v>
      </c>
      <c r="C982" s="128" t="s">
        <v>250</v>
      </c>
      <c r="D982" s="12"/>
      <c r="E982" s="512"/>
      <c r="F982" s="54"/>
      <c r="G982" s="54"/>
      <c r="H982" s="54"/>
    </row>
    <row r="983" spans="1:8" s="55" customFormat="1" ht="15.75" hidden="1" customHeight="1" x14ac:dyDescent="0.25">
      <c r="A983" s="354">
        <v>1</v>
      </c>
      <c r="B983" s="131" t="e">
        <f t="shared" si="27"/>
        <v>#REF!</v>
      </c>
      <c r="C983" s="14" t="s">
        <v>192</v>
      </c>
      <c r="D983" s="12"/>
      <c r="E983" s="512">
        <f>E985+E987+E988</f>
        <v>21200</v>
      </c>
      <c r="F983" s="54"/>
      <c r="G983" s="54"/>
      <c r="H983" s="54"/>
    </row>
    <row r="984" spans="1:8" s="55" customFormat="1" ht="15.75" hidden="1" customHeight="1" x14ac:dyDescent="0.25">
      <c r="A984" s="354">
        <v>1</v>
      </c>
      <c r="B984" s="131" t="e">
        <f t="shared" si="27"/>
        <v>#REF!</v>
      </c>
      <c r="C984" s="18" t="s">
        <v>116</v>
      </c>
      <c r="D984" s="12"/>
      <c r="E984" s="512"/>
      <c r="F984" s="54"/>
      <c r="G984" s="54"/>
      <c r="H984" s="54"/>
    </row>
    <row r="985" spans="1:8" s="55" customFormat="1" ht="30" hidden="1" customHeight="1" x14ac:dyDescent="0.25">
      <c r="A985" s="354">
        <v>1</v>
      </c>
      <c r="B985" s="131" t="e">
        <f t="shared" si="27"/>
        <v>#REF!</v>
      </c>
      <c r="C985" s="15" t="s">
        <v>397</v>
      </c>
      <c r="D985" s="12"/>
      <c r="E985" s="56">
        <v>11000</v>
      </c>
      <c r="F985" s="54"/>
      <c r="G985" s="54"/>
      <c r="H985" s="54"/>
    </row>
    <row r="986" spans="1:8" s="55" customFormat="1" ht="45" hidden="1" customHeight="1" x14ac:dyDescent="0.25">
      <c r="A986" s="354">
        <v>1</v>
      </c>
      <c r="B986" s="131" t="e">
        <f t="shared" si="27"/>
        <v>#REF!</v>
      </c>
      <c r="C986" s="15" t="s">
        <v>398</v>
      </c>
      <c r="D986" s="12"/>
      <c r="E986" s="512"/>
      <c r="F986" s="54"/>
      <c r="G986" s="54"/>
      <c r="H986" s="54"/>
    </row>
    <row r="987" spans="1:8" s="55" customFormat="1" ht="45" hidden="1" customHeight="1" x14ac:dyDescent="0.25">
      <c r="A987" s="354">
        <v>1</v>
      </c>
      <c r="B987" s="131" t="e">
        <f t="shared" si="27"/>
        <v>#REF!</v>
      </c>
      <c r="C987" s="15" t="s">
        <v>399</v>
      </c>
      <c r="D987" s="12"/>
      <c r="E987" s="56">
        <v>10000</v>
      </c>
      <c r="F987" s="54"/>
      <c r="G987" s="54"/>
      <c r="H987" s="54"/>
    </row>
    <row r="988" spans="1:8" s="55" customFormat="1" ht="75" hidden="1" customHeight="1" x14ac:dyDescent="0.25">
      <c r="A988" s="354">
        <v>1</v>
      </c>
      <c r="B988" s="131" t="e">
        <f t="shared" si="27"/>
        <v>#REF!</v>
      </c>
      <c r="C988" s="15" t="s">
        <v>400</v>
      </c>
      <c r="D988" s="12"/>
      <c r="E988" s="56">
        <v>200</v>
      </c>
      <c r="F988" s="54"/>
      <c r="G988" s="54"/>
      <c r="H988" s="54"/>
    </row>
    <row r="989" spans="1:8" s="55" customFormat="1" ht="15.75" hidden="1" customHeight="1" x14ac:dyDescent="0.25">
      <c r="A989" s="354">
        <v>1</v>
      </c>
      <c r="B989" s="131" t="e">
        <f t="shared" si="27"/>
        <v>#REF!</v>
      </c>
      <c r="C989" s="57" t="s">
        <v>90</v>
      </c>
      <c r="D989" s="12"/>
      <c r="E989" s="512">
        <f>E990+E991</f>
        <v>41000</v>
      </c>
      <c r="F989" s="54"/>
      <c r="G989" s="54"/>
      <c r="H989" s="54"/>
    </row>
    <row r="990" spans="1:8" s="55" customFormat="1" ht="15.75" hidden="1" customHeight="1" x14ac:dyDescent="0.25">
      <c r="A990" s="354">
        <v>1</v>
      </c>
      <c r="B990" s="131" t="e">
        <f t="shared" si="27"/>
        <v>#REF!</v>
      </c>
      <c r="C990" s="19" t="s">
        <v>145</v>
      </c>
      <c r="D990" s="12"/>
      <c r="E990" s="56">
        <v>35000</v>
      </c>
      <c r="F990" s="54"/>
      <c r="G990" s="54"/>
      <c r="H990" s="54"/>
    </row>
    <row r="991" spans="1:8" s="55" customFormat="1" ht="45" hidden="1" x14ac:dyDescent="0.25">
      <c r="A991" s="354">
        <v>1</v>
      </c>
      <c r="B991" s="131" t="e">
        <f t="shared" si="27"/>
        <v>#REF!</v>
      </c>
      <c r="C991" s="19" t="s">
        <v>414</v>
      </c>
      <c r="D991" s="12"/>
      <c r="E991" s="56">
        <v>6000</v>
      </c>
      <c r="F991" s="54"/>
      <c r="G991" s="54"/>
      <c r="H991" s="54"/>
    </row>
    <row r="992" spans="1:8" s="55" customFormat="1" ht="15.75" hidden="1" customHeight="1" x14ac:dyDescent="0.25">
      <c r="A992" s="354">
        <v>1</v>
      </c>
      <c r="B992" s="131" t="e">
        <f t="shared" si="27"/>
        <v>#REF!</v>
      </c>
      <c r="C992" s="12" t="s">
        <v>98</v>
      </c>
      <c r="D992" s="12"/>
      <c r="E992" s="56"/>
      <c r="F992" s="54"/>
      <c r="G992" s="54"/>
      <c r="H992" s="54"/>
    </row>
    <row r="993" spans="1:8" s="55" customFormat="1" ht="47.25" hidden="1" customHeight="1" x14ac:dyDescent="0.25">
      <c r="A993" s="354">
        <v>1</v>
      </c>
      <c r="B993" s="131" t="e">
        <f t="shared" si="27"/>
        <v>#REF!</v>
      </c>
      <c r="C993" s="58" t="s">
        <v>333</v>
      </c>
      <c r="D993" s="12"/>
      <c r="E993" s="512">
        <f>E994+E999</f>
        <v>21676</v>
      </c>
      <c r="F993" s="54"/>
      <c r="G993" s="54"/>
      <c r="H993" s="54"/>
    </row>
    <row r="994" spans="1:8" s="55" customFormat="1" ht="16.5" hidden="1" customHeight="1" x14ac:dyDescent="0.25">
      <c r="A994" s="354">
        <v>1</v>
      </c>
      <c r="B994" s="131" t="e">
        <f t="shared" si="27"/>
        <v>#REF!</v>
      </c>
      <c r="C994" s="16" t="s">
        <v>193</v>
      </c>
      <c r="D994" s="59"/>
      <c r="E994" s="513">
        <f>SUM(E995:E998)</f>
        <v>176</v>
      </c>
      <c r="F994" s="54"/>
      <c r="G994" s="54"/>
      <c r="H994" s="54"/>
    </row>
    <row r="995" spans="1:8" s="55" customFormat="1" ht="30" hidden="1" customHeight="1" x14ac:dyDescent="0.25">
      <c r="A995" s="354">
        <v>1</v>
      </c>
      <c r="B995" s="131" t="e">
        <f t="shared" ref="B995:B1058" si="28">B994+1</f>
        <v>#REF!</v>
      </c>
      <c r="C995" s="15" t="s">
        <v>334</v>
      </c>
      <c r="D995" s="59"/>
      <c r="E995" s="60"/>
      <c r="F995" s="54"/>
      <c r="G995" s="54"/>
      <c r="H995" s="54"/>
    </row>
    <row r="996" spans="1:8" s="55" customFormat="1" ht="45" hidden="1" customHeight="1" x14ac:dyDescent="0.25">
      <c r="A996" s="354">
        <v>1</v>
      </c>
      <c r="B996" s="131" t="e">
        <f t="shared" si="28"/>
        <v>#REF!</v>
      </c>
      <c r="C996" s="15" t="s">
        <v>335</v>
      </c>
      <c r="D996" s="59"/>
      <c r="E996" s="53"/>
      <c r="F996" s="54"/>
      <c r="G996" s="54"/>
      <c r="H996" s="54"/>
    </row>
    <row r="997" spans="1:8" s="55" customFormat="1" ht="30" hidden="1" customHeight="1" x14ac:dyDescent="0.25">
      <c r="A997" s="354">
        <v>1</v>
      </c>
      <c r="B997" s="131" t="e">
        <f t="shared" si="28"/>
        <v>#REF!</v>
      </c>
      <c r="C997" s="15" t="s">
        <v>382</v>
      </c>
      <c r="D997" s="59"/>
      <c r="E997" s="53">
        <v>77</v>
      </c>
      <c r="F997" s="54"/>
      <c r="G997" s="54"/>
      <c r="H997" s="54"/>
    </row>
    <row r="998" spans="1:8" s="55" customFormat="1" ht="30" hidden="1" customHeight="1" x14ac:dyDescent="0.25">
      <c r="A998" s="354">
        <v>1</v>
      </c>
      <c r="B998" s="131" t="e">
        <f t="shared" si="28"/>
        <v>#REF!</v>
      </c>
      <c r="C998" s="15" t="s">
        <v>383</v>
      </c>
      <c r="D998" s="59"/>
      <c r="E998" s="53">
        <v>99</v>
      </c>
      <c r="F998" s="54"/>
      <c r="G998" s="54"/>
      <c r="H998" s="54"/>
    </row>
    <row r="999" spans="1:8" s="51" customFormat="1" ht="30" hidden="1" customHeight="1" x14ac:dyDescent="0.25">
      <c r="A999" s="354">
        <v>1</v>
      </c>
      <c r="B999" s="131" t="e">
        <f t="shared" si="28"/>
        <v>#REF!</v>
      </c>
      <c r="C999" s="16" t="s">
        <v>194</v>
      </c>
      <c r="D999" s="13"/>
      <c r="E999" s="508">
        <f>SUM(E1000:E1002)</f>
        <v>21500</v>
      </c>
      <c r="F999" s="2"/>
      <c r="G999" s="2"/>
      <c r="H999" s="2"/>
    </row>
    <row r="1000" spans="1:8" s="55" customFormat="1" ht="30" hidden="1" customHeight="1" x14ac:dyDescent="0.25">
      <c r="A1000" s="354">
        <v>1</v>
      </c>
      <c r="B1000" s="131" t="e">
        <f t="shared" si="28"/>
        <v>#REF!</v>
      </c>
      <c r="C1000" s="15" t="s">
        <v>384</v>
      </c>
      <c r="D1000" s="277"/>
      <c r="E1000" s="53"/>
      <c r="F1000" s="54"/>
      <c r="G1000" s="54"/>
      <c r="H1000" s="54"/>
    </row>
    <row r="1001" spans="1:8" s="55" customFormat="1" ht="45" hidden="1" customHeight="1" x14ac:dyDescent="0.25">
      <c r="A1001" s="354">
        <v>1</v>
      </c>
      <c r="B1001" s="131" t="e">
        <f t="shared" si="28"/>
        <v>#REF!</v>
      </c>
      <c r="C1001" s="15" t="s">
        <v>385</v>
      </c>
      <c r="D1001" s="61"/>
      <c r="E1001" s="60">
        <v>16500</v>
      </c>
      <c r="F1001" s="62"/>
      <c r="G1001" s="62"/>
      <c r="H1001" s="43"/>
    </row>
    <row r="1002" spans="1:8" s="55" customFormat="1" ht="45" hidden="1" customHeight="1" x14ac:dyDescent="0.25">
      <c r="A1002" s="354">
        <v>1</v>
      </c>
      <c r="B1002" s="131" t="e">
        <f t="shared" si="28"/>
        <v>#REF!</v>
      </c>
      <c r="C1002" s="15" t="s">
        <v>386</v>
      </c>
      <c r="D1002" s="13"/>
      <c r="E1002" s="53">
        <v>5000</v>
      </c>
      <c r="F1002" s="62"/>
      <c r="G1002" s="62"/>
      <c r="H1002" s="43"/>
    </row>
    <row r="1003" spans="1:8" s="55" customFormat="1" ht="15.75" hidden="1" customHeight="1" x14ac:dyDescent="0.25">
      <c r="A1003" s="354">
        <v>1</v>
      </c>
      <c r="B1003" s="131" t="e">
        <f t="shared" si="28"/>
        <v>#REF!</v>
      </c>
      <c r="C1003" s="14" t="s">
        <v>251</v>
      </c>
      <c r="D1003" s="13"/>
      <c r="E1003" s="53">
        <f>E1004+E1005+E1009+E1010</f>
        <v>0</v>
      </c>
      <c r="F1003" s="62"/>
      <c r="G1003" s="62"/>
      <c r="H1003" s="43"/>
    </row>
    <row r="1004" spans="1:8" s="55" customFormat="1" ht="15.75" hidden="1" customHeight="1" x14ac:dyDescent="0.25">
      <c r="A1004" s="354">
        <v>1</v>
      </c>
      <c r="B1004" s="131" t="e">
        <f t="shared" si="28"/>
        <v>#REF!</v>
      </c>
      <c r="C1004" s="15" t="s">
        <v>252</v>
      </c>
      <c r="D1004" s="13"/>
      <c r="E1004" s="53"/>
      <c r="F1004" s="62"/>
      <c r="G1004" s="62"/>
      <c r="H1004" s="43"/>
    </row>
    <row r="1005" spans="1:8" s="55" customFormat="1" ht="30" hidden="1" customHeight="1" x14ac:dyDescent="0.25">
      <c r="A1005" s="354">
        <v>1</v>
      </c>
      <c r="B1005" s="131" t="e">
        <f t="shared" si="28"/>
        <v>#REF!</v>
      </c>
      <c r="C1005" s="16" t="s">
        <v>388</v>
      </c>
      <c r="D1005" s="13"/>
      <c r="E1005" s="53"/>
      <c r="F1005" s="62"/>
      <c r="G1005" s="62"/>
      <c r="H1005" s="43"/>
    </row>
    <row r="1006" spans="1:8" s="145" customFormat="1" ht="15.75" hidden="1" customHeight="1" x14ac:dyDescent="0.25">
      <c r="A1006" s="354">
        <v>1</v>
      </c>
      <c r="B1006" s="131" t="e">
        <f t="shared" si="28"/>
        <v>#REF!</v>
      </c>
      <c r="C1006" s="15" t="s">
        <v>389</v>
      </c>
      <c r="D1006" s="13"/>
      <c r="E1006" s="17"/>
      <c r="F1006" s="10"/>
      <c r="G1006" s="10"/>
      <c r="H1006" s="10"/>
    </row>
    <row r="1007" spans="1:8" s="55" customFormat="1" ht="30" hidden="1" customHeight="1" x14ac:dyDescent="0.25">
      <c r="A1007" s="354">
        <v>1</v>
      </c>
      <c r="B1007" s="131" t="e">
        <f t="shared" si="28"/>
        <v>#REF!</v>
      </c>
      <c r="C1007" s="15" t="s">
        <v>390</v>
      </c>
      <c r="D1007" s="13"/>
      <c r="E1007" s="60"/>
      <c r="F1007" s="62"/>
      <c r="G1007" s="62"/>
      <c r="H1007" s="43"/>
    </row>
    <row r="1008" spans="1:8" s="55" customFormat="1" ht="45" hidden="1" customHeight="1" x14ac:dyDescent="0.25">
      <c r="A1008" s="354">
        <v>1</v>
      </c>
      <c r="B1008" s="131" t="e">
        <f t="shared" si="28"/>
        <v>#REF!</v>
      </c>
      <c r="C1008" s="15" t="s">
        <v>391</v>
      </c>
      <c r="D1008" s="13"/>
      <c r="E1008" s="60"/>
      <c r="F1008" s="62"/>
      <c r="G1008" s="62"/>
      <c r="H1008" s="43"/>
    </row>
    <row r="1009" spans="1:8" s="55" customFormat="1" ht="45" hidden="1" customHeight="1" x14ac:dyDescent="0.25">
      <c r="A1009" s="354">
        <v>1</v>
      </c>
      <c r="B1009" s="131" t="e">
        <f t="shared" si="28"/>
        <v>#REF!</v>
      </c>
      <c r="C1009" s="15" t="s">
        <v>392</v>
      </c>
      <c r="D1009" s="13"/>
      <c r="E1009" s="60"/>
      <c r="F1009" s="62"/>
      <c r="G1009" s="62"/>
      <c r="H1009" s="43"/>
    </row>
    <row r="1010" spans="1:8" s="55" customFormat="1" ht="45" hidden="1" customHeight="1" x14ac:dyDescent="0.25">
      <c r="A1010" s="354">
        <v>1</v>
      </c>
      <c r="B1010" s="131" t="e">
        <f t="shared" si="28"/>
        <v>#REF!</v>
      </c>
      <c r="C1010" s="18" t="s">
        <v>393</v>
      </c>
      <c r="D1010" s="13"/>
      <c r="E1010" s="68"/>
      <c r="F1010" s="62"/>
      <c r="G1010" s="62"/>
      <c r="H1010" s="43"/>
    </row>
    <row r="1011" spans="1:8" s="55" customFormat="1" ht="15.75" hidden="1" customHeight="1" x14ac:dyDescent="0.25">
      <c r="A1011" s="354">
        <v>1</v>
      </c>
      <c r="B1011" s="131" t="e">
        <f t="shared" si="28"/>
        <v>#REF!</v>
      </c>
      <c r="C1011" s="14" t="s">
        <v>253</v>
      </c>
      <c r="D1011" s="13"/>
      <c r="E1011" s="53"/>
      <c r="F1011" s="62"/>
      <c r="G1011" s="62"/>
      <c r="H1011" s="43"/>
    </row>
    <row r="1012" spans="1:8" s="55" customFormat="1" ht="15.75" hidden="1" customHeight="1" x14ac:dyDescent="0.25">
      <c r="A1012" s="354">
        <v>1</v>
      </c>
      <c r="B1012" s="131" t="e">
        <f t="shared" si="28"/>
        <v>#REF!</v>
      </c>
      <c r="C1012" s="14" t="s">
        <v>254</v>
      </c>
      <c r="D1012" s="13"/>
      <c r="E1012" s="53"/>
      <c r="F1012" s="62"/>
      <c r="G1012" s="62"/>
      <c r="H1012" s="43"/>
    </row>
    <row r="1013" spans="1:8" s="55" customFormat="1" ht="15.75" hidden="1" customHeight="1" x14ac:dyDescent="0.25">
      <c r="A1013" s="354">
        <v>1</v>
      </c>
      <c r="B1013" s="131" t="e">
        <f t="shared" si="28"/>
        <v>#REF!</v>
      </c>
      <c r="C1013" s="15" t="s">
        <v>255</v>
      </c>
      <c r="D1013" s="13"/>
      <c r="E1013" s="550"/>
      <c r="F1013" s="62"/>
      <c r="G1013" s="62"/>
      <c r="H1013" s="43"/>
    </row>
    <row r="1014" spans="1:8" s="55" customFormat="1" ht="15.75" hidden="1" customHeight="1" x14ac:dyDescent="0.25">
      <c r="A1014" s="354">
        <v>1</v>
      </c>
      <c r="B1014" s="131" t="e">
        <f t="shared" si="28"/>
        <v>#REF!</v>
      </c>
      <c r="C1014" s="42" t="s">
        <v>261</v>
      </c>
      <c r="D1014" s="13"/>
      <c r="E1014" s="550"/>
      <c r="F1014" s="62"/>
      <c r="G1014" s="62"/>
      <c r="H1014" s="43"/>
    </row>
    <row r="1015" spans="1:8" s="55" customFormat="1" ht="29.25" hidden="1" customHeight="1" x14ac:dyDescent="0.25">
      <c r="A1015" s="354">
        <v>1</v>
      </c>
      <c r="B1015" s="131" t="e">
        <f t="shared" si="28"/>
        <v>#REF!</v>
      </c>
      <c r="C1015" s="14" t="s">
        <v>256</v>
      </c>
      <c r="D1015" s="13"/>
      <c r="E1015" s="550">
        <v>12860</v>
      </c>
      <c r="F1015" s="62"/>
      <c r="G1015" s="62"/>
      <c r="H1015" s="43"/>
    </row>
    <row r="1016" spans="1:8" s="55" customFormat="1" ht="15.75" hidden="1" customHeight="1" x14ac:dyDescent="0.25">
      <c r="A1016" s="354">
        <v>1</v>
      </c>
      <c r="B1016" s="131" t="e">
        <f t="shared" si="28"/>
        <v>#REF!</v>
      </c>
      <c r="C1016" s="19" t="s">
        <v>117</v>
      </c>
      <c r="D1016" s="13"/>
      <c r="E1016" s="550"/>
      <c r="F1016" s="62"/>
      <c r="G1016" s="62"/>
      <c r="H1016" s="43"/>
    </row>
    <row r="1017" spans="1:8" s="55" customFormat="1" ht="57.75" hidden="1" customHeight="1" x14ac:dyDescent="0.25">
      <c r="A1017" s="354">
        <v>1</v>
      </c>
      <c r="B1017" s="131" t="e">
        <f t="shared" si="28"/>
        <v>#REF!</v>
      </c>
      <c r="C1017" s="21" t="s">
        <v>259</v>
      </c>
      <c r="D1017" s="13"/>
      <c r="E1017" s="53"/>
      <c r="F1017" s="62"/>
      <c r="G1017" s="62"/>
      <c r="H1017" s="43"/>
    </row>
    <row r="1018" spans="1:8" s="55" customFormat="1" ht="15.75" hidden="1" customHeight="1" x14ac:dyDescent="0.25">
      <c r="A1018" s="354">
        <v>1</v>
      </c>
      <c r="B1018" s="131" t="e">
        <f t="shared" si="28"/>
        <v>#REF!</v>
      </c>
      <c r="C1018" s="20" t="s">
        <v>165</v>
      </c>
      <c r="D1018" s="13"/>
      <c r="E1018" s="508">
        <f>E1019+E1020</f>
        <v>2450</v>
      </c>
      <c r="F1018" s="62"/>
      <c r="G1018" s="62"/>
      <c r="H1018" s="43"/>
    </row>
    <row r="1019" spans="1:8" s="55" customFormat="1" ht="15.75" hidden="1" customHeight="1" x14ac:dyDescent="0.25">
      <c r="A1019" s="354">
        <v>1</v>
      </c>
      <c r="B1019" s="131" t="e">
        <f t="shared" si="28"/>
        <v>#REF!</v>
      </c>
      <c r="C1019" s="224" t="s">
        <v>50</v>
      </c>
      <c r="D1019" s="13"/>
      <c r="E1019" s="53">
        <v>1900</v>
      </c>
      <c r="F1019" s="62"/>
      <c r="G1019" s="62"/>
      <c r="H1019" s="43"/>
    </row>
    <row r="1020" spans="1:8" s="55" customFormat="1" ht="30" hidden="1" customHeight="1" x14ac:dyDescent="0.25">
      <c r="A1020" s="354">
        <v>1</v>
      </c>
      <c r="B1020" s="131" t="e">
        <f t="shared" si="28"/>
        <v>#REF!</v>
      </c>
      <c r="C1020" s="147" t="s">
        <v>204</v>
      </c>
      <c r="D1020" s="13"/>
      <c r="E1020" s="53">
        <v>550</v>
      </c>
      <c r="F1020" s="373"/>
      <c r="G1020" s="373"/>
      <c r="H1020" s="29"/>
    </row>
    <row r="1021" spans="1:8" s="55" customFormat="1" ht="15.75" hidden="1" customHeight="1" x14ac:dyDescent="0.25">
      <c r="A1021" s="354">
        <v>1</v>
      </c>
      <c r="B1021" s="131" t="e">
        <f t="shared" si="28"/>
        <v>#REF!</v>
      </c>
      <c r="C1021" s="21" t="s">
        <v>195</v>
      </c>
      <c r="D1021" s="41"/>
      <c r="E1021" s="508">
        <f>E1003+E983</f>
        <v>21200</v>
      </c>
      <c r="F1021" s="373"/>
      <c r="G1021" s="373"/>
      <c r="H1021" s="29"/>
    </row>
    <row r="1022" spans="1:8" s="55" customFormat="1" ht="29.25" hidden="1" customHeight="1" x14ac:dyDescent="0.25">
      <c r="A1022" s="354">
        <v>1</v>
      </c>
      <c r="B1022" s="131" t="e">
        <f t="shared" si="28"/>
        <v>#REF!</v>
      </c>
      <c r="C1022" s="21" t="s">
        <v>196</v>
      </c>
      <c r="D1022" s="41"/>
      <c r="E1022" s="508">
        <f>E993</f>
        <v>21676</v>
      </c>
      <c r="F1022" s="373"/>
      <c r="G1022" s="373"/>
      <c r="H1022" s="29"/>
    </row>
    <row r="1023" spans="1:8" s="55" customFormat="1" ht="15.75" hidden="1" customHeight="1" x14ac:dyDescent="0.25">
      <c r="A1023" s="354">
        <v>1</v>
      </c>
      <c r="B1023" s="131" t="e">
        <f t="shared" si="28"/>
        <v>#REF!</v>
      </c>
      <c r="C1023" s="21" t="s">
        <v>197</v>
      </c>
      <c r="D1023" s="41"/>
      <c r="E1023" s="508">
        <f>E1011+E989</f>
        <v>41000</v>
      </c>
      <c r="F1023" s="373"/>
      <c r="G1023" s="373"/>
      <c r="H1023" s="29"/>
    </row>
    <row r="1024" spans="1:8" s="55" customFormat="1" ht="29.25" hidden="1" customHeight="1" x14ac:dyDescent="0.25">
      <c r="A1024" s="354">
        <v>1</v>
      </c>
      <c r="B1024" s="131" t="e">
        <f t="shared" si="28"/>
        <v>#REF!</v>
      </c>
      <c r="C1024" s="21" t="s">
        <v>198</v>
      </c>
      <c r="D1024" s="41"/>
      <c r="E1024" s="508">
        <f>E1015</f>
        <v>12860</v>
      </c>
      <c r="F1024" s="373"/>
      <c r="G1024" s="373"/>
      <c r="H1024" s="29"/>
    </row>
    <row r="1025" spans="1:8" s="55" customFormat="1" ht="15.75" hidden="1" customHeight="1" x14ac:dyDescent="0.25">
      <c r="A1025" s="354">
        <v>1</v>
      </c>
      <c r="B1025" s="131" t="e">
        <f t="shared" si="28"/>
        <v>#REF!</v>
      </c>
      <c r="C1025" s="22" t="s">
        <v>112</v>
      </c>
      <c r="D1025" s="41"/>
      <c r="E1025" s="508">
        <f>E1021+E1022+E1024+E1023*2.6</f>
        <v>162336</v>
      </c>
      <c r="F1025" s="373"/>
      <c r="G1025" s="373"/>
      <c r="H1025" s="29"/>
    </row>
    <row r="1026" spans="1:8" s="51" customFormat="1" ht="15.75" hidden="1" customHeight="1" x14ac:dyDescent="0.25">
      <c r="A1026" s="354">
        <v>1</v>
      </c>
      <c r="B1026" s="131" t="e">
        <f t="shared" si="28"/>
        <v>#REF!</v>
      </c>
      <c r="C1026" s="44" t="s">
        <v>7</v>
      </c>
      <c r="D1026" s="380"/>
      <c r="E1026" s="469"/>
      <c r="F1026" s="2"/>
      <c r="G1026" s="2"/>
      <c r="H1026" s="2"/>
    </row>
    <row r="1027" spans="1:8" s="51" customFormat="1" ht="15.75" hidden="1" customHeight="1" x14ac:dyDescent="0.25">
      <c r="A1027" s="354">
        <v>1</v>
      </c>
      <c r="B1027" s="131" t="e">
        <f t="shared" si="28"/>
        <v>#REF!</v>
      </c>
      <c r="C1027" s="293" t="s">
        <v>71</v>
      </c>
      <c r="D1027" s="380"/>
      <c r="E1027" s="469"/>
      <c r="F1027" s="2"/>
      <c r="G1027" s="2"/>
      <c r="H1027" s="2"/>
    </row>
    <row r="1028" spans="1:8" s="51" customFormat="1" ht="15.75" hidden="1" customHeight="1" x14ac:dyDescent="0.25">
      <c r="A1028" s="354">
        <v>1</v>
      </c>
      <c r="B1028" s="131" t="e">
        <f t="shared" si="28"/>
        <v>#REF!</v>
      </c>
      <c r="C1028" s="539" t="s">
        <v>8</v>
      </c>
      <c r="D1028" s="52">
        <v>240</v>
      </c>
      <c r="E1028" s="53">
        <v>100</v>
      </c>
      <c r="F1028" s="47">
        <v>7</v>
      </c>
      <c r="G1028" s="2">
        <f>ROUND(H1028/D1028,0)</f>
        <v>3</v>
      </c>
      <c r="H1028" s="2">
        <f>ROUND(E1028*F1028,0)</f>
        <v>700</v>
      </c>
    </row>
    <row r="1029" spans="1:8" s="51" customFormat="1" ht="15.75" hidden="1" customHeight="1" x14ac:dyDescent="0.25">
      <c r="A1029" s="354">
        <v>1</v>
      </c>
      <c r="B1029" s="131" t="e">
        <f t="shared" si="28"/>
        <v>#REF!</v>
      </c>
      <c r="C1029" s="539" t="s">
        <v>24</v>
      </c>
      <c r="D1029" s="52">
        <v>240</v>
      </c>
      <c r="E1029" s="53">
        <v>842</v>
      </c>
      <c r="F1029" s="47">
        <v>7</v>
      </c>
      <c r="G1029" s="2">
        <f>ROUND(H1029/D1029,0)</f>
        <v>25</v>
      </c>
      <c r="H1029" s="2">
        <f>ROUND(E1029*F1029,0)</f>
        <v>5894</v>
      </c>
    </row>
    <row r="1030" spans="1:8" s="51" customFormat="1" ht="15.75" hidden="1" customHeight="1" x14ac:dyDescent="0.25">
      <c r="A1030" s="354">
        <v>1</v>
      </c>
      <c r="B1030" s="131" t="e">
        <f t="shared" si="28"/>
        <v>#REF!</v>
      </c>
      <c r="C1030" s="539" t="s">
        <v>10</v>
      </c>
      <c r="D1030" s="52">
        <v>240</v>
      </c>
      <c r="E1030" s="53">
        <v>48</v>
      </c>
      <c r="F1030" s="47">
        <v>3</v>
      </c>
      <c r="G1030" s="2">
        <f>ROUND(H1030/D1030,0)</f>
        <v>1</v>
      </c>
      <c r="H1030" s="2">
        <f>ROUND(E1030*F1030,0)</f>
        <v>144</v>
      </c>
    </row>
    <row r="1031" spans="1:8" s="51" customFormat="1" ht="15.75" hidden="1" customHeight="1" x14ac:dyDescent="0.25">
      <c r="A1031" s="354">
        <v>1</v>
      </c>
      <c r="B1031" s="131" t="e">
        <f t="shared" si="28"/>
        <v>#REF!</v>
      </c>
      <c r="C1031" s="547" t="s">
        <v>94</v>
      </c>
      <c r="D1031" s="52"/>
      <c r="E1031" s="506">
        <f>SUM(E1028:E1030)</f>
        <v>990</v>
      </c>
      <c r="F1031" s="525">
        <f>H1031/E1031</f>
        <v>6.8060606060606057</v>
      </c>
      <c r="G1031" s="31">
        <f>G1028+G1029+G1030</f>
        <v>29</v>
      </c>
      <c r="H1031" s="31">
        <f>H1028+H1029+H1030</f>
        <v>6738</v>
      </c>
    </row>
    <row r="1032" spans="1:8" s="51" customFormat="1" ht="15.75" hidden="1" customHeight="1" x14ac:dyDescent="0.25">
      <c r="A1032" s="354">
        <v>1</v>
      </c>
      <c r="B1032" s="131" t="e">
        <f t="shared" si="28"/>
        <v>#REF!</v>
      </c>
      <c r="C1032" s="548" t="s">
        <v>88</v>
      </c>
      <c r="D1032" s="52"/>
      <c r="E1032" s="508">
        <f>E1031</f>
        <v>990</v>
      </c>
      <c r="F1032" s="75">
        <f>F1031</f>
        <v>6.8060606060606057</v>
      </c>
      <c r="G1032" s="29">
        <f>G1031</f>
        <v>29</v>
      </c>
      <c r="H1032" s="29">
        <f>H1031</f>
        <v>6738</v>
      </c>
    </row>
    <row r="1033" spans="1:8" ht="16.5" hidden="1" customHeight="1" thickBot="1" x14ac:dyDescent="0.3">
      <c r="A1033" s="354">
        <v>1</v>
      </c>
      <c r="B1033" s="131" t="e">
        <f t="shared" si="28"/>
        <v>#REF!</v>
      </c>
      <c r="C1033" s="495" t="s">
        <v>213</v>
      </c>
      <c r="D1033" s="381"/>
      <c r="E1033" s="566"/>
      <c r="F1033" s="567"/>
      <c r="G1033" s="567"/>
      <c r="H1033" s="567"/>
    </row>
    <row r="1034" spans="1:8" ht="15.75" hidden="1" customHeight="1" x14ac:dyDescent="0.25">
      <c r="A1034" s="354">
        <v>1</v>
      </c>
      <c r="B1034" s="131" t="e">
        <f t="shared" si="28"/>
        <v>#REF!</v>
      </c>
      <c r="C1034" s="535"/>
      <c r="D1034" s="52"/>
      <c r="E1034" s="493"/>
      <c r="F1034" s="494"/>
      <c r="G1034" s="494"/>
      <c r="H1034" s="494"/>
    </row>
    <row r="1035" spans="1:8" ht="29.25" hidden="1" customHeight="1" x14ac:dyDescent="0.25">
      <c r="A1035" s="354">
        <v>1</v>
      </c>
      <c r="B1035" s="131" t="e">
        <f t="shared" si="28"/>
        <v>#REF!</v>
      </c>
      <c r="C1035" s="686" t="s">
        <v>366</v>
      </c>
      <c r="D1035" s="52"/>
      <c r="E1035" s="53"/>
      <c r="F1035" s="2"/>
      <c r="G1035" s="2"/>
      <c r="H1035" s="2"/>
    </row>
    <row r="1036" spans="1:8" s="55" customFormat="1" ht="48" hidden="1" customHeight="1" x14ac:dyDescent="0.25">
      <c r="A1036" s="354">
        <v>1</v>
      </c>
      <c r="B1036" s="131" t="e">
        <f t="shared" si="28"/>
        <v>#REF!</v>
      </c>
      <c r="C1036" s="128" t="s">
        <v>250</v>
      </c>
      <c r="D1036" s="12"/>
      <c r="E1036" s="512"/>
      <c r="F1036" s="54"/>
      <c r="G1036" s="54"/>
      <c r="H1036" s="54"/>
    </row>
    <row r="1037" spans="1:8" s="55" customFormat="1" ht="15.75" hidden="1" customHeight="1" x14ac:dyDescent="0.25">
      <c r="A1037" s="354">
        <v>1</v>
      </c>
      <c r="B1037" s="131" t="e">
        <f t="shared" si="28"/>
        <v>#REF!</v>
      </c>
      <c r="C1037" s="14" t="s">
        <v>192</v>
      </c>
      <c r="D1037" s="12"/>
      <c r="E1037" s="512">
        <f>E1038+E1039+E1041+E1042</f>
        <v>16805</v>
      </c>
      <c r="F1037" s="54"/>
      <c r="G1037" s="54"/>
      <c r="H1037" s="54"/>
    </row>
    <row r="1038" spans="1:8" s="55" customFormat="1" ht="15.75" hidden="1" customHeight="1" x14ac:dyDescent="0.25">
      <c r="A1038" s="354">
        <v>1</v>
      </c>
      <c r="B1038" s="131" t="e">
        <f t="shared" si="28"/>
        <v>#REF!</v>
      </c>
      <c r="C1038" s="18" t="s">
        <v>116</v>
      </c>
      <c r="D1038" s="12"/>
      <c r="E1038" s="56">
        <v>5955</v>
      </c>
      <c r="F1038" s="54"/>
      <c r="G1038" s="54"/>
      <c r="H1038" s="54"/>
    </row>
    <row r="1039" spans="1:8" s="55" customFormat="1" ht="30" hidden="1" customHeight="1" x14ac:dyDescent="0.25">
      <c r="A1039" s="354">
        <v>1</v>
      </c>
      <c r="B1039" s="131" t="e">
        <f t="shared" si="28"/>
        <v>#REF!</v>
      </c>
      <c r="C1039" s="15" t="s">
        <v>397</v>
      </c>
      <c r="D1039" s="12"/>
      <c r="E1039" s="56">
        <v>8000</v>
      </c>
      <c r="F1039" s="54"/>
      <c r="G1039" s="54"/>
      <c r="H1039" s="54"/>
    </row>
    <row r="1040" spans="1:8" s="55" customFormat="1" ht="45" hidden="1" customHeight="1" x14ac:dyDescent="0.25">
      <c r="A1040" s="354">
        <v>1</v>
      </c>
      <c r="B1040" s="131" t="e">
        <f t="shared" si="28"/>
        <v>#REF!</v>
      </c>
      <c r="C1040" s="15" t="s">
        <v>398</v>
      </c>
      <c r="D1040" s="12"/>
      <c r="E1040" s="56"/>
      <c r="F1040" s="54"/>
      <c r="G1040" s="54"/>
      <c r="H1040" s="54"/>
    </row>
    <row r="1041" spans="1:8" s="55" customFormat="1" ht="45" hidden="1" customHeight="1" x14ac:dyDescent="0.25">
      <c r="A1041" s="354">
        <v>1</v>
      </c>
      <c r="B1041" s="131" t="e">
        <f t="shared" si="28"/>
        <v>#REF!</v>
      </c>
      <c r="C1041" s="15" t="s">
        <v>399</v>
      </c>
      <c r="D1041" s="12"/>
      <c r="E1041" s="56">
        <v>2700</v>
      </c>
      <c r="F1041" s="54"/>
      <c r="G1041" s="54"/>
      <c r="H1041" s="54"/>
    </row>
    <row r="1042" spans="1:8" s="55" customFormat="1" ht="75" hidden="1" customHeight="1" x14ac:dyDescent="0.25">
      <c r="A1042" s="354">
        <v>1</v>
      </c>
      <c r="B1042" s="131" t="e">
        <f t="shared" si="28"/>
        <v>#REF!</v>
      </c>
      <c r="C1042" s="15" t="s">
        <v>400</v>
      </c>
      <c r="D1042" s="12"/>
      <c r="E1042" s="56">
        <v>150</v>
      </c>
      <c r="F1042" s="54"/>
      <c r="G1042" s="54"/>
      <c r="H1042" s="54"/>
    </row>
    <row r="1043" spans="1:8" s="55" customFormat="1" ht="15.75" hidden="1" customHeight="1" x14ac:dyDescent="0.25">
      <c r="A1043" s="354">
        <v>1</v>
      </c>
      <c r="B1043" s="131" t="e">
        <f t="shared" si="28"/>
        <v>#REF!</v>
      </c>
      <c r="C1043" s="57" t="s">
        <v>90</v>
      </c>
      <c r="D1043" s="12"/>
      <c r="E1043" s="512">
        <f>E1044+E1045</f>
        <v>40848</v>
      </c>
      <c r="F1043" s="54"/>
      <c r="G1043" s="54"/>
      <c r="H1043" s="54"/>
    </row>
    <row r="1044" spans="1:8" s="55" customFormat="1" ht="15.75" hidden="1" customHeight="1" x14ac:dyDescent="0.25">
      <c r="A1044" s="354">
        <v>1</v>
      </c>
      <c r="B1044" s="131" t="e">
        <f t="shared" si="28"/>
        <v>#REF!</v>
      </c>
      <c r="C1044" s="19" t="s">
        <v>145</v>
      </c>
      <c r="D1044" s="12"/>
      <c r="E1044" s="56">
        <v>36000</v>
      </c>
      <c r="F1044" s="54"/>
      <c r="G1044" s="54"/>
      <c r="H1044" s="54"/>
    </row>
    <row r="1045" spans="1:8" s="55" customFormat="1" ht="45" hidden="1" x14ac:dyDescent="0.25">
      <c r="A1045" s="354">
        <v>1</v>
      </c>
      <c r="B1045" s="131" t="e">
        <f t="shared" si="28"/>
        <v>#REF!</v>
      </c>
      <c r="C1045" s="19" t="s">
        <v>414</v>
      </c>
      <c r="D1045" s="12"/>
      <c r="E1045" s="568">
        <v>4848</v>
      </c>
      <c r="F1045" s="54"/>
      <c r="G1045" s="54"/>
      <c r="H1045" s="54"/>
    </row>
    <row r="1046" spans="1:8" s="55" customFormat="1" ht="15.75" hidden="1" customHeight="1" x14ac:dyDescent="0.25">
      <c r="A1046" s="354">
        <v>1</v>
      </c>
      <c r="B1046" s="131" t="e">
        <f t="shared" si="28"/>
        <v>#REF!</v>
      </c>
      <c r="C1046" s="33" t="s">
        <v>98</v>
      </c>
      <c r="D1046" s="12"/>
      <c r="E1046" s="568"/>
      <c r="F1046" s="54"/>
      <c r="G1046" s="54"/>
      <c r="H1046" s="54"/>
    </row>
    <row r="1047" spans="1:8" s="55" customFormat="1" ht="47.25" hidden="1" customHeight="1" x14ac:dyDescent="0.25">
      <c r="A1047" s="354">
        <v>1</v>
      </c>
      <c r="B1047" s="131" t="e">
        <f t="shared" si="28"/>
        <v>#REF!</v>
      </c>
      <c r="C1047" s="58" t="s">
        <v>333</v>
      </c>
      <c r="D1047" s="59"/>
      <c r="E1047" s="508">
        <f>E1048+E1053</f>
        <v>17410</v>
      </c>
      <c r="F1047" s="54"/>
      <c r="G1047" s="54"/>
      <c r="H1047" s="54"/>
    </row>
    <row r="1048" spans="1:8" s="55" customFormat="1" ht="15" hidden="1" customHeight="1" x14ac:dyDescent="0.25">
      <c r="A1048" s="354">
        <v>1</v>
      </c>
      <c r="B1048" s="131" t="e">
        <f t="shared" si="28"/>
        <v>#REF!</v>
      </c>
      <c r="C1048" s="16" t="s">
        <v>193</v>
      </c>
      <c r="D1048" s="59"/>
      <c r="E1048" s="508">
        <f>SUM(E1049:E1052)</f>
        <v>295</v>
      </c>
      <c r="F1048" s="54"/>
      <c r="G1048" s="54"/>
      <c r="H1048" s="54"/>
    </row>
    <row r="1049" spans="1:8" ht="45.75" hidden="1" customHeight="1" x14ac:dyDescent="0.25">
      <c r="A1049" s="354">
        <v>1</v>
      </c>
      <c r="B1049" s="131" t="e">
        <f t="shared" si="28"/>
        <v>#REF!</v>
      </c>
      <c r="C1049" s="15" t="s">
        <v>334</v>
      </c>
      <c r="D1049" s="13"/>
      <c r="E1049" s="53"/>
      <c r="F1049" s="2"/>
      <c r="G1049" s="2"/>
      <c r="H1049" s="2"/>
    </row>
    <row r="1050" spans="1:8" s="55" customFormat="1" ht="45" hidden="1" customHeight="1" x14ac:dyDescent="0.25">
      <c r="A1050" s="354">
        <v>1</v>
      </c>
      <c r="B1050" s="131" t="e">
        <f t="shared" si="28"/>
        <v>#REF!</v>
      </c>
      <c r="C1050" s="15" t="s">
        <v>335</v>
      </c>
      <c r="D1050" s="277"/>
      <c r="E1050" s="53"/>
      <c r="F1050" s="54"/>
      <c r="G1050" s="54"/>
      <c r="H1050" s="54"/>
    </row>
    <row r="1051" spans="1:8" s="55" customFormat="1" ht="30" hidden="1" customHeight="1" x14ac:dyDescent="0.25">
      <c r="A1051" s="354">
        <v>1</v>
      </c>
      <c r="B1051" s="131" t="e">
        <f t="shared" si="28"/>
        <v>#REF!</v>
      </c>
      <c r="C1051" s="15" t="s">
        <v>382</v>
      </c>
      <c r="D1051" s="61"/>
      <c r="E1051" s="60">
        <v>125</v>
      </c>
      <c r="F1051" s="62"/>
      <c r="G1051" s="62"/>
      <c r="H1051" s="43"/>
    </row>
    <row r="1052" spans="1:8" s="55" customFormat="1" ht="30" hidden="1" customHeight="1" x14ac:dyDescent="0.25">
      <c r="A1052" s="354">
        <v>1</v>
      </c>
      <c r="B1052" s="131" t="e">
        <f t="shared" si="28"/>
        <v>#REF!</v>
      </c>
      <c r="C1052" s="15" t="s">
        <v>383</v>
      </c>
      <c r="D1052" s="13"/>
      <c r="E1052" s="53">
        <v>170</v>
      </c>
      <c r="F1052" s="62"/>
      <c r="G1052" s="62"/>
      <c r="H1052" s="43"/>
    </row>
    <row r="1053" spans="1:8" s="55" customFormat="1" ht="30" hidden="1" customHeight="1" x14ac:dyDescent="0.25">
      <c r="A1053" s="354">
        <v>1</v>
      </c>
      <c r="B1053" s="131" t="e">
        <f t="shared" si="28"/>
        <v>#REF!</v>
      </c>
      <c r="C1053" s="16" t="s">
        <v>194</v>
      </c>
      <c r="D1053" s="13"/>
      <c r="E1053" s="508">
        <f>SUM(E1054:E1056)</f>
        <v>17115</v>
      </c>
      <c r="F1053" s="62"/>
      <c r="G1053" s="62"/>
      <c r="H1053" s="43"/>
    </row>
    <row r="1054" spans="1:8" s="55" customFormat="1" ht="30" hidden="1" customHeight="1" x14ac:dyDescent="0.25">
      <c r="A1054" s="354">
        <v>1</v>
      </c>
      <c r="B1054" s="131" t="e">
        <f t="shared" si="28"/>
        <v>#REF!</v>
      </c>
      <c r="C1054" s="15" t="s">
        <v>384</v>
      </c>
      <c r="D1054" s="13"/>
      <c r="E1054" s="53"/>
      <c r="F1054" s="62"/>
      <c r="G1054" s="62"/>
      <c r="H1054" s="43"/>
    </row>
    <row r="1055" spans="1:8" s="55" customFormat="1" ht="45" hidden="1" customHeight="1" x14ac:dyDescent="0.25">
      <c r="A1055" s="354">
        <v>1</v>
      </c>
      <c r="B1055" s="131" t="e">
        <f t="shared" si="28"/>
        <v>#REF!</v>
      </c>
      <c r="C1055" s="15" t="s">
        <v>385</v>
      </c>
      <c r="D1055" s="13"/>
      <c r="E1055" s="53">
        <v>15585</v>
      </c>
      <c r="F1055" s="62"/>
      <c r="G1055" s="62"/>
      <c r="H1055" s="43"/>
    </row>
    <row r="1056" spans="1:8" s="55" customFormat="1" ht="45" hidden="1" customHeight="1" x14ac:dyDescent="0.25">
      <c r="A1056" s="354">
        <v>1</v>
      </c>
      <c r="B1056" s="131" t="e">
        <f t="shared" si="28"/>
        <v>#REF!</v>
      </c>
      <c r="C1056" s="15" t="s">
        <v>386</v>
      </c>
      <c r="D1056" s="13"/>
      <c r="E1056" s="60">
        <v>1530</v>
      </c>
      <c r="F1056" s="62"/>
      <c r="G1056" s="62"/>
      <c r="H1056" s="43"/>
    </row>
    <row r="1057" spans="1:8" s="55" customFormat="1" ht="15.75" hidden="1" customHeight="1" x14ac:dyDescent="0.25">
      <c r="A1057" s="354">
        <v>1</v>
      </c>
      <c r="B1057" s="131" t="e">
        <f t="shared" si="28"/>
        <v>#REF!</v>
      </c>
      <c r="C1057" s="14" t="s">
        <v>251</v>
      </c>
      <c r="D1057" s="13"/>
      <c r="E1057" s="60">
        <f>E1058+E1059+E1063+E1064</f>
        <v>0</v>
      </c>
      <c r="F1057" s="62"/>
      <c r="G1057" s="62"/>
      <c r="H1057" s="43"/>
    </row>
    <row r="1058" spans="1:8" s="55" customFormat="1" ht="15.75" hidden="1" customHeight="1" x14ac:dyDescent="0.25">
      <c r="A1058" s="354">
        <v>1</v>
      </c>
      <c r="B1058" s="131" t="e">
        <f t="shared" si="28"/>
        <v>#REF!</v>
      </c>
      <c r="C1058" s="15" t="s">
        <v>252</v>
      </c>
      <c r="D1058" s="13"/>
      <c r="E1058" s="60"/>
      <c r="F1058" s="62"/>
      <c r="G1058" s="62"/>
      <c r="H1058" s="43"/>
    </row>
    <row r="1059" spans="1:8" s="55" customFormat="1" ht="30" hidden="1" customHeight="1" x14ac:dyDescent="0.25">
      <c r="A1059" s="354">
        <v>1</v>
      </c>
      <c r="B1059" s="131" t="e">
        <f t="shared" ref="B1059:B1126" si="29">B1058+1</f>
        <v>#REF!</v>
      </c>
      <c r="C1059" s="16" t="s">
        <v>388</v>
      </c>
      <c r="D1059" s="13"/>
      <c r="E1059" s="60"/>
      <c r="F1059" s="62"/>
      <c r="G1059" s="62"/>
      <c r="H1059" s="43"/>
    </row>
    <row r="1060" spans="1:8" s="145" customFormat="1" ht="15.75" hidden="1" customHeight="1" x14ac:dyDescent="0.25">
      <c r="A1060" s="354">
        <v>1</v>
      </c>
      <c r="B1060" s="131" t="e">
        <f t="shared" si="29"/>
        <v>#REF!</v>
      </c>
      <c r="C1060" s="15" t="s">
        <v>389</v>
      </c>
      <c r="D1060" s="13"/>
      <c r="E1060" s="17"/>
      <c r="F1060" s="10"/>
      <c r="G1060" s="10"/>
      <c r="H1060" s="10"/>
    </row>
    <row r="1061" spans="1:8" s="55" customFormat="1" ht="30" hidden="1" customHeight="1" x14ac:dyDescent="0.25">
      <c r="A1061" s="354">
        <v>1</v>
      </c>
      <c r="B1061" s="131" t="e">
        <f t="shared" si="29"/>
        <v>#REF!</v>
      </c>
      <c r="C1061" s="15" t="s">
        <v>390</v>
      </c>
      <c r="D1061" s="13"/>
      <c r="E1061" s="60"/>
      <c r="F1061" s="62"/>
      <c r="G1061" s="62"/>
      <c r="H1061" s="43"/>
    </row>
    <row r="1062" spans="1:8" s="55" customFormat="1" ht="45" hidden="1" customHeight="1" x14ac:dyDescent="0.25">
      <c r="A1062" s="354">
        <v>1</v>
      </c>
      <c r="B1062" s="131" t="e">
        <f t="shared" si="29"/>
        <v>#REF!</v>
      </c>
      <c r="C1062" s="15" t="s">
        <v>391</v>
      </c>
      <c r="D1062" s="13"/>
      <c r="E1062" s="68"/>
      <c r="F1062" s="62"/>
      <c r="G1062" s="62"/>
      <c r="H1062" s="43"/>
    </row>
    <row r="1063" spans="1:8" s="55" customFormat="1" ht="45" hidden="1" customHeight="1" x14ac:dyDescent="0.25">
      <c r="A1063" s="354">
        <v>1</v>
      </c>
      <c r="B1063" s="131" t="e">
        <f t="shared" si="29"/>
        <v>#REF!</v>
      </c>
      <c r="C1063" s="15" t="s">
        <v>392</v>
      </c>
      <c r="D1063" s="13"/>
      <c r="E1063" s="550"/>
      <c r="F1063" s="62"/>
      <c r="G1063" s="62"/>
      <c r="H1063" s="43"/>
    </row>
    <row r="1064" spans="1:8" s="55" customFormat="1" ht="45" hidden="1" customHeight="1" x14ac:dyDescent="0.25">
      <c r="A1064" s="354">
        <v>1</v>
      </c>
      <c r="B1064" s="131" t="e">
        <f t="shared" si="29"/>
        <v>#REF!</v>
      </c>
      <c r="C1064" s="18" t="s">
        <v>393</v>
      </c>
      <c r="D1064" s="13"/>
      <c r="E1064" s="550"/>
      <c r="F1064" s="62"/>
      <c r="G1064" s="62"/>
      <c r="H1064" s="43"/>
    </row>
    <row r="1065" spans="1:8" s="55" customFormat="1" ht="15.75" hidden="1" customHeight="1" x14ac:dyDescent="0.25">
      <c r="A1065" s="354">
        <v>1</v>
      </c>
      <c r="B1065" s="131" t="e">
        <f t="shared" si="29"/>
        <v>#REF!</v>
      </c>
      <c r="C1065" s="14" t="s">
        <v>253</v>
      </c>
      <c r="D1065" s="13"/>
      <c r="E1065" s="550"/>
      <c r="F1065" s="62"/>
      <c r="G1065" s="62"/>
      <c r="H1065" s="43"/>
    </row>
    <row r="1066" spans="1:8" s="55" customFormat="1" ht="15.75" hidden="1" customHeight="1" x14ac:dyDescent="0.25">
      <c r="A1066" s="354">
        <v>1</v>
      </c>
      <c r="B1066" s="131" t="e">
        <f t="shared" si="29"/>
        <v>#REF!</v>
      </c>
      <c r="C1066" s="14" t="s">
        <v>254</v>
      </c>
      <c r="D1066" s="13"/>
      <c r="E1066" s="550"/>
      <c r="F1066" s="62"/>
      <c r="G1066" s="62"/>
      <c r="H1066" s="43"/>
    </row>
    <row r="1067" spans="1:8" s="55" customFormat="1" ht="15.75" hidden="1" customHeight="1" x14ac:dyDescent="0.25">
      <c r="A1067" s="354">
        <v>1</v>
      </c>
      <c r="B1067" s="131" t="e">
        <f t="shared" si="29"/>
        <v>#REF!</v>
      </c>
      <c r="C1067" s="15" t="s">
        <v>255</v>
      </c>
      <c r="D1067" s="13"/>
      <c r="E1067" s="53"/>
      <c r="F1067" s="62"/>
      <c r="G1067" s="62"/>
      <c r="H1067" s="43"/>
    </row>
    <row r="1068" spans="1:8" s="55" customFormat="1" ht="15.75" hidden="1" customHeight="1" x14ac:dyDescent="0.25">
      <c r="A1068" s="354">
        <v>1</v>
      </c>
      <c r="B1068" s="131" t="e">
        <f t="shared" si="29"/>
        <v>#REF!</v>
      </c>
      <c r="C1068" s="42" t="s">
        <v>261</v>
      </c>
      <c r="D1068" s="13"/>
      <c r="E1068" s="53"/>
      <c r="F1068" s="62"/>
      <c r="G1068" s="62"/>
      <c r="H1068" s="43"/>
    </row>
    <row r="1069" spans="1:8" s="55" customFormat="1" ht="29.25" hidden="1" customHeight="1" x14ac:dyDescent="0.25">
      <c r="A1069" s="354">
        <v>1</v>
      </c>
      <c r="B1069" s="131" t="e">
        <f t="shared" si="29"/>
        <v>#REF!</v>
      </c>
      <c r="C1069" s="14" t="s">
        <v>256</v>
      </c>
      <c r="D1069" s="13"/>
      <c r="E1069" s="53">
        <v>24370</v>
      </c>
      <c r="F1069" s="62"/>
      <c r="G1069" s="62"/>
      <c r="H1069" s="43"/>
    </row>
    <row r="1070" spans="1:8" s="55" customFormat="1" ht="15.75" hidden="1" customHeight="1" x14ac:dyDescent="0.25">
      <c r="A1070" s="354">
        <v>1</v>
      </c>
      <c r="B1070" s="131" t="e">
        <f t="shared" si="29"/>
        <v>#REF!</v>
      </c>
      <c r="C1070" s="19" t="s">
        <v>117</v>
      </c>
      <c r="D1070" s="59"/>
      <c r="E1070" s="60"/>
      <c r="F1070" s="62"/>
      <c r="G1070" s="62"/>
      <c r="H1070" s="43"/>
    </row>
    <row r="1071" spans="1:8" s="55" customFormat="1" ht="57.75" hidden="1" customHeight="1" x14ac:dyDescent="0.25">
      <c r="A1071" s="354">
        <v>1</v>
      </c>
      <c r="B1071" s="131" t="e">
        <f t="shared" si="29"/>
        <v>#REF!</v>
      </c>
      <c r="C1071" s="14" t="s">
        <v>259</v>
      </c>
      <c r="D1071" s="59"/>
      <c r="E1071" s="68"/>
      <c r="F1071" s="62"/>
      <c r="G1071" s="62"/>
      <c r="H1071" s="43"/>
    </row>
    <row r="1072" spans="1:8" ht="15.75" hidden="1" customHeight="1" x14ac:dyDescent="0.25">
      <c r="A1072" s="354">
        <v>1</v>
      </c>
      <c r="B1072" s="131" t="e">
        <f t="shared" si="29"/>
        <v>#REF!</v>
      </c>
      <c r="C1072" s="20" t="s">
        <v>165</v>
      </c>
      <c r="D1072" s="13"/>
      <c r="E1072" s="508">
        <f>SUM(E1073:E1074)</f>
        <v>3500</v>
      </c>
      <c r="F1072" s="2"/>
      <c r="G1072" s="2"/>
      <c r="H1072" s="2"/>
    </row>
    <row r="1073" spans="1:8" s="55" customFormat="1" ht="30" hidden="1" customHeight="1" x14ac:dyDescent="0.25">
      <c r="A1073" s="354">
        <v>1</v>
      </c>
      <c r="B1073" s="131" t="e">
        <f t="shared" si="29"/>
        <v>#REF!</v>
      </c>
      <c r="C1073" s="147" t="s">
        <v>205</v>
      </c>
      <c r="D1073" s="13"/>
      <c r="E1073" s="53">
        <v>20</v>
      </c>
      <c r="F1073" s="62"/>
      <c r="G1073" s="62"/>
      <c r="H1073" s="43"/>
    </row>
    <row r="1074" spans="1:8" s="55" customFormat="1" ht="30" hidden="1" customHeight="1" x14ac:dyDescent="0.25">
      <c r="A1074" s="354">
        <v>1</v>
      </c>
      <c r="B1074" s="131" t="e">
        <f t="shared" si="29"/>
        <v>#REF!</v>
      </c>
      <c r="C1074" s="147" t="s">
        <v>204</v>
      </c>
      <c r="D1074" s="13"/>
      <c r="E1074" s="53">
        <v>3480</v>
      </c>
      <c r="F1074" s="62"/>
      <c r="G1074" s="62"/>
      <c r="H1074" s="43"/>
    </row>
    <row r="1075" spans="1:8" s="55" customFormat="1" ht="15.75" hidden="1" customHeight="1" x14ac:dyDescent="0.25">
      <c r="A1075" s="354">
        <v>1</v>
      </c>
      <c r="B1075" s="131" t="e">
        <f t="shared" si="29"/>
        <v>#REF!</v>
      </c>
      <c r="C1075" s="21" t="s">
        <v>195</v>
      </c>
      <c r="D1075" s="13"/>
      <c r="E1075" s="508">
        <f>E1057+E1037</f>
        <v>16805</v>
      </c>
      <c r="F1075" s="62"/>
      <c r="G1075" s="62"/>
      <c r="H1075" s="43"/>
    </row>
    <row r="1076" spans="1:8" s="55" customFormat="1" ht="29.25" hidden="1" customHeight="1" x14ac:dyDescent="0.25">
      <c r="A1076" s="354">
        <v>1</v>
      </c>
      <c r="B1076" s="131" t="e">
        <f t="shared" si="29"/>
        <v>#REF!</v>
      </c>
      <c r="C1076" s="21" t="s">
        <v>196</v>
      </c>
      <c r="D1076" s="13"/>
      <c r="E1076" s="508">
        <f>E1047</f>
        <v>17410</v>
      </c>
      <c r="F1076" s="62"/>
      <c r="G1076" s="62"/>
      <c r="H1076" s="43"/>
    </row>
    <row r="1077" spans="1:8" s="55" customFormat="1" ht="15.75" hidden="1" customHeight="1" x14ac:dyDescent="0.25">
      <c r="A1077" s="354">
        <v>1</v>
      </c>
      <c r="B1077" s="131" t="e">
        <f t="shared" si="29"/>
        <v>#REF!</v>
      </c>
      <c r="C1077" s="21" t="s">
        <v>197</v>
      </c>
      <c r="D1077" s="13"/>
      <c r="E1077" s="508">
        <f>E1065+E1043</f>
        <v>40848</v>
      </c>
      <c r="F1077" s="62"/>
      <c r="G1077" s="62"/>
      <c r="H1077" s="43"/>
    </row>
    <row r="1078" spans="1:8" s="55" customFormat="1" ht="29.25" hidden="1" customHeight="1" x14ac:dyDescent="0.25">
      <c r="A1078" s="354">
        <v>1</v>
      </c>
      <c r="B1078" s="131" t="e">
        <f t="shared" si="29"/>
        <v>#REF!</v>
      </c>
      <c r="C1078" s="21" t="s">
        <v>198</v>
      </c>
      <c r="D1078" s="13"/>
      <c r="E1078" s="508">
        <f>E1069</f>
        <v>24370</v>
      </c>
      <c r="F1078" s="62"/>
      <c r="G1078" s="62"/>
      <c r="H1078" s="43"/>
    </row>
    <row r="1079" spans="1:8" s="55" customFormat="1" ht="15.75" hidden="1" customHeight="1" x14ac:dyDescent="0.25">
      <c r="A1079" s="354">
        <v>1</v>
      </c>
      <c r="B1079" s="131" t="e">
        <f t="shared" si="29"/>
        <v>#REF!</v>
      </c>
      <c r="C1079" s="22" t="s">
        <v>112</v>
      </c>
      <c r="D1079" s="13"/>
      <c r="E1079" s="508">
        <f>E1075+E1076+E1078+E1077*2.6</f>
        <v>164789.79999999999</v>
      </c>
      <c r="F1079" s="62"/>
      <c r="G1079" s="62"/>
      <c r="H1079" s="43"/>
    </row>
    <row r="1080" spans="1:8" ht="15.75" hidden="1" customHeight="1" x14ac:dyDescent="0.25">
      <c r="A1080" s="354">
        <v>1</v>
      </c>
      <c r="B1080" s="131" t="e">
        <f t="shared" si="29"/>
        <v>#REF!</v>
      </c>
      <c r="C1080" s="44" t="s">
        <v>7</v>
      </c>
      <c r="D1080" s="380"/>
      <c r="E1080" s="469"/>
      <c r="F1080" s="2"/>
      <c r="G1080" s="2"/>
      <c r="H1080" s="2"/>
    </row>
    <row r="1081" spans="1:8" ht="15.75" hidden="1" customHeight="1" x14ac:dyDescent="0.25">
      <c r="A1081" s="354">
        <v>1</v>
      </c>
      <c r="B1081" s="131" t="e">
        <f t="shared" si="29"/>
        <v>#REF!</v>
      </c>
      <c r="C1081" s="293" t="s">
        <v>71</v>
      </c>
      <c r="D1081" s="380"/>
      <c r="E1081" s="469"/>
      <c r="F1081" s="2"/>
      <c r="G1081" s="2"/>
      <c r="H1081" s="2"/>
    </row>
    <row r="1082" spans="1:8" s="51" customFormat="1" ht="15.75" hidden="1" customHeight="1" x14ac:dyDescent="0.25">
      <c r="A1082" s="354">
        <v>1</v>
      </c>
      <c r="B1082" s="131" t="e">
        <f t="shared" si="29"/>
        <v>#REF!</v>
      </c>
      <c r="C1082" s="539" t="s">
        <v>24</v>
      </c>
      <c r="D1082" s="52">
        <v>240</v>
      </c>
      <c r="E1082" s="53">
        <v>1997</v>
      </c>
      <c r="F1082" s="47">
        <v>8</v>
      </c>
      <c r="G1082" s="2">
        <f>ROUND(H1082/D1082,0)</f>
        <v>67</v>
      </c>
      <c r="H1082" s="2">
        <f>ROUND(E1082*F1082,0)</f>
        <v>15976</v>
      </c>
    </row>
    <row r="1083" spans="1:8" s="51" customFormat="1" ht="15.75" hidden="1" customHeight="1" x14ac:dyDescent="0.25">
      <c r="A1083" s="354">
        <v>1</v>
      </c>
      <c r="B1083" s="131" t="e">
        <f t="shared" si="29"/>
        <v>#REF!</v>
      </c>
      <c r="C1083" s="547" t="s">
        <v>94</v>
      </c>
      <c r="D1083" s="52"/>
      <c r="E1083" s="506">
        <f>SUM(E1082)</f>
        <v>1997</v>
      </c>
      <c r="F1083" s="525">
        <f t="shared" ref="E1083:H1084" si="30">F1082</f>
        <v>8</v>
      </c>
      <c r="G1083" s="31">
        <f t="shared" si="30"/>
        <v>67</v>
      </c>
      <c r="H1083" s="31">
        <f t="shared" si="30"/>
        <v>15976</v>
      </c>
    </row>
    <row r="1084" spans="1:8" s="51" customFormat="1" ht="15.75" hidden="1" customHeight="1" x14ac:dyDescent="0.25">
      <c r="A1084" s="354">
        <v>1</v>
      </c>
      <c r="B1084" s="131" t="e">
        <f t="shared" si="29"/>
        <v>#REF!</v>
      </c>
      <c r="C1084" s="548" t="s">
        <v>88</v>
      </c>
      <c r="D1084" s="52"/>
      <c r="E1084" s="518">
        <f t="shared" si="30"/>
        <v>1997</v>
      </c>
      <c r="F1084" s="75">
        <f t="shared" si="30"/>
        <v>8</v>
      </c>
      <c r="G1084" s="289">
        <f t="shared" si="30"/>
        <v>67</v>
      </c>
      <c r="H1084" s="289">
        <f t="shared" si="30"/>
        <v>15976</v>
      </c>
    </row>
    <row r="1085" spans="1:8" ht="16.5" hidden="1" customHeight="1" thickBot="1" x14ac:dyDescent="0.3">
      <c r="A1085" s="354">
        <v>1</v>
      </c>
      <c r="B1085" s="131" t="e">
        <f t="shared" si="29"/>
        <v>#REF!</v>
      </c>
      <c r="C1085" s="495" t="s">
        <v>213</v>
      </c>
      <c r="D1085" s="381"/>
      <c r="E1085" s="564"/>
      <c r="F1085" s="565"/>
      <c r="G1085" s="565"/>
      <c r="H1085" s="565"/>
    </row>
    <row r="1086" spans="1:8" ht="15.75" hidden="1" customHeight="1" x14ac:dyDescent="0.25">
      <c r="A1086" s="354">
        <v>1</v>
      </c>
      <c r="B1086" s="131" t="e">
        <f t="shared" si="29"/>
        <v>#REF!</v>
      </c>
      <c r="C1086" s="569"/>
      <c r="D1086" s="471"/>
      <c r="E1086" s="493"/>
      <c r="F1086" s="494"/>
      <c r="G1086" s="494"/>
      <c r="H1086" s="494"/>
    </row>
    <row r="1087" spans="1:8" ht="29.25" hidden="1" customHeight="1" x14ac:dyDescent="0.25">
      <c r="A1087" s="354">
        <v>1</v>
      </c>
      <c r="B1087" s="131" t="e">
        <f t="shared" si="29"/>
        <v>#REF!</v>
      </c>
      <c r="C1087" s="686" t="s">
        <v>367</v>
      </c>
      <c r="D1087" s="52"/>
      <c r="E1087" s="53"/>
      <c r="F1087" s="2"/>
      <c r="G1087" s="2"/>
      <c r="H1087" s="2"/>
    </row>
    <row r="1088" spans="1:8" s="55" customFormat="1" ht="47.25" hidden="1" customHeight="1" x14ac:dyDescent="0.25">
      <c r="A1088" s="354">
        <v>1</v>
      </c>
      <c r="B1088" s="131" t="e">
        <f t="shared" si="29"/>
        <v>#REF!</v>
      </c>
      <c r="C1088" s="128" t="s">
        <v>250</v>
      </c>
      <c r="D1088" s="12"/>
      <c r="E1088" s="512"/>
      <c r="F1088" s="54"/>
      <c r="G1088" s="54"/>
      <c r="H1088" s="54"/>
    </row>
    <row r="1089" spans="1:8" s="55" customFormat="1" ht="15.75" hidden="1" customHeight="1" x14ac:dyDescent="0.25">
      <c r="A1089" s="354">
        <v>1</v>
      </c>
      <c r="B1089" s="131" t="e">
        <f t="shared" si="29"/>
        <v>#REF!</v>
      </c>
      <c r="C1089" s="14" t="s">
        <v>192</v>
      </c>
      <c r="D1089" s="12"/>
      <c r="E1089" s="512">
        <f>E1091+E1093+E1094</f>
        <v>27100</v>
      </c>
      <c r="F1089" s="54"/>
      <c r="G1089" s="54"/>
      <c r="H1089" s="54"/>
    </row>
    <row r="1090" spans="1:8" s="55" customFormat="1" ht="15.75" hidden="1" customHeight="1" x14ac:dyDescent="0.25">
      <c r="A1090" s="354">
        <v>1</v>
      </c>
      <c r="B1090" s="131" t="e">
        <f t="shared" si="29"/>
        <v>#REF!</v>
      </c>
      <c r="C1090" s="18" t="s">
        <v>116</v>
      </c>
      <c r="D1090" s="12"/>
      <c r="E1090" s="512"/>
      <c r="F1090" s="54"/>
      <c r="G1090" s="54"/>
      <c r="H1090" s="54"/>
    </row>
    <row r="1091" spans="1:8" s="55" customFormat="1" ht="17.25" hidden="1" customHeight="1" x14ac:dyDescent="0.25">
      <c r="A1091" s="354">
        <v>1</v>
      </c>
      <c r="B1091" s="131" t="e">
        <f t="shared" si="29"/>
        <v>#REF!</v>
      </c>
      <c r="C1091" s="15" t="s">
        <v>397</v>
      </c>
      <c r="D1091" s="12"/>
      <c r="E1091" s="56">
        <v>11000</v>
      </c>
      <c r="F1091" s="54"/>
      <c r="G1091" s="54"/>
      <c r="H1091" s="54"/>
    </row>
    <row r="1092" spans="1:8" s="55" customFormat="1" ht="45" hidden="1" customHeight="1" x14ac:dyDescent="0.25">
      <c r="A1092" s="354">
        <v>1</v>
      </c>
      <c r="B1092" s="131" t="e">
        <f t="shared" si="29"/>
        <v>#REF!</v>
      </c>
      <c r="C1092" s="15" t="s">
        <v>398</v>
      </c>
      <c r="D1092" s="12"/>
      <c r="E1092" s="56"/>
      <c r="F1092" s="54"/>
      <c r="G1092" s="54"/>
      <c r="H1092" s="54"/>
    </row>
    <row r="1093" spans="1:8" s="55" customFormat="1" ht="45" hidden="1" customHeight="1" x14ac:dyDescent="0.25">
      <c r="A1093" s="354">
        <v>1</v>
      </c>
      <c r="B1093" s="131" t="e">
        <f t="shared" si="29"/>
        <v>#REF!</v>
      </c>
      <c r="C1093" s="15" t="s">
        <v>399</v>
      </c>
      <c r="D1093" s="12"/>
      <c r="E1093" s="56">
        <v>16000</v>
      </c>
      <c r="F1093" s="54"/>
      <c r="G1093" s="54"/>
      <c r="H1093" s="54"/>
    </row>
    <row r="1094" spans="1:8" s="55" customFormat="1" ht="75" hidden="1" customHeight="1" x14ac:dyDescent="0.25">
      <c r="A1094" s="354">
        <v>1</v>
      </c>
      <c r="B1094" s="131" t="e">
        <f t="shared" si="29"/>
        <v>#REF!</v>
      </c>
      <c r="C1094" s="15" t="s">
        <v>400</v>
      </c>
      <c r="D1094" s="12"/>
      <c r="E1094" s="56">
        <v>100</v>
      </c>
      <c r="F1094" s="54"/>
      <c r="G1094" s="54"/>
      <c r="H1094" s="54"/>
    </row>
    <row r="1095" spans="1:8" s="55" customFormat="1" ht="15.75" hidden="1" customHeight="1" x14ac:dyDescent="0.25">
      <c r="A1095" s="354">
        <v>1</v>
      </c>
      <c r="B1095" s="131" t="e">
        <f t="shared" si="29"/>
        <v>#REF!</v>
      </c>
      <c r="C1095" s="57" t="s">
        <v>90</v>
      </c>
      <c r="D1095" s="12"/>
      <c r="E1095" s="512">
        <f>E1096+E1097</f>
        <v>40009</v>
      </c>
      <c r="F1095" s="54"/>
      <c r="G1095" s="54"/>
      <c r="H1095" s="54"/>
    </row>
    <row r="1096" spans="1:8" s="55" customFormat="1" ht="15.75" hidden="1" customHeight="1" x14ac:dyDescent="0.25">
      <c r="A1096" s="354">
        <v>1</v>
      </c>
      <c r="B1096" s="131" t="e">
        <f t="shared" si="29"/>
        <v>#REF!</v>
      </c>
      <c r="C1096" s="19" t="s">
        <v>145</v>
      </c>
      <c r="D1096" s="12"/>
      <c r="E1096" s="56">
        <v>35000</v>
      </c>
      <c r="F1096" s="54"/>
      <c r="G1096" s="54"/>
      <c r="H1096" s="54"/>
    </row>
    <row r="1097" spans="1:8" s="55" customFormat="1" ht="45" hidden="1" x14ac:dyDescent="0.25">
      <c r="A1097" s="354">
        <v>1</v>
      </c>
      <c r="B1097" s="131" t="e">
        <f t="shared" si="29"/>
        <v>#REF!</v>
      </c>
      <c r="C1097" s="19" t="s">
        <v>414</v>
      </c>
      <c r="D1097" s="12"/>
      <c r="E1097" s="56">
        <v>5009</v>
      </c>
      <c r="F1097" s="54"/>
      <c r="G1097" s="54"/>
      <c r="H1097" s="54"/>
    </row>
    <row r="1098" spans="1:8" s="55" customFormat="1" ht="15.75" hidden="1" customHeight="1" x14ac:dyDescent="0.25">
      <c r="A1098" s="354">
        <v>1</v>
      </c>
      <c r="B1098" s="131" t="e">
        <f t="shared" si="29"/>
        <v>#REF!</v>
      </c>
      <c r="C1098" s="33" t="s">
        <v>98</v>
      </c>
      <c r="D1098" s="12"/>
      <c r="E1098" s="56"/>
      <c r="F1098" s="54"/>
      <c r="G1098" s="54"/>
      <c r="H1098" s="54"/>
    </row>
    <row r="1099" spans="1:8" s="55" customFormat="1" ht="47.25" hidden="1" customHeight="1" x14ac:dyDescent="0.25">
      <c r="A1099" s="354">
        <v>1</v>
      </c>
      <c r="B1099" s="131" t="e">
        <f t="shared" si="29"/>
        <v>#REF!</v>
      </c>
      <c r="C1099" s="58" t="s">
        <v>333</v>
      </c>
      <c r="D1099" s="12"/>
      <c r="E1099" s="512">
        <f>E1100+E1105</f>
        <v>19114</v>
      </c>
      <c r="F1099" s="54"/>
      <c r="G1099" s="54"/>
      <c r="H1099" s="54"/>
    </row>
    <row r="1100" spans="1:8" s="55" customFormat="1" ht="16.5" hidden="1" customHeight="1" x14ac:dyDescent="0.25">
      <c r="A1100" s="354">
        <v>1</v>
      </c>
      <c r="B1100" s="131" t="e">
        <f t="shared" si="29"/>
        <v>#REF!</v>
      </c>
      <c r="C1100" s="16" t="s">
        <v>193</v>
      </c>
      <c r="D1100" s="12"/>
      <c r="E1100" s="512">
        <f>SUM(E1101:E1104)</f>
        <v>114</v>
      </c>
      <c r="F1100" s="54"/>
      <c r="G1100" s="54"/>
      <c r="H1100" s="54"/>
    </row>
    <row r="1101" spans="1:8" s="55" customFormat="1" ht="34.5" hidden="1" customHeight="1" x14ac:dyDescent="0.25">
      <c r="A1101" s="354">
        <v>1</v>
      </c>
      <c r="B1101" s="131" t="e">
        <f t="shared" si="29"/>
        <v>#REF!</v>
      </c>
      <c r="C1101" s="15" t="s">
        <v>334</v>
      </c>
      <c r="D1101" s="12"/>
      <c r="E1101" s="512"/>
      <c r="F1101" s="54"/>
      <c r="G1101" s="54"/>
      <c r="H1101" s="54"/>
    </row>
    <row r="1102" spans="1:8" s="55" customFormat="1" ht="45" hidden="1" customHeight="1" x14ac:dyDescent="0.25">
      <c r="A1102" s="354">
        <v>1</v>
      </c>
      <c r="B1102" s="131" t="e">
        <f t="shared" si="29"/>
        <v>#REF!</v>
      </c>
      <c r="C1102" s="15" t="s">
        <v>335</v>
      </c>
      <c r="D1102" s="12"/>
      <c r="E1102" s="512"/>
      <c r="F1102" s="54"/>
      <c r="G1102" s="54"/>
      <c r="H1102" s="54"/>
    </row>
    <row r="1103" spans="1:8" s="55" customFormat="1" ht="30" hidden="1" customHeight="1" x14ac:dyDescent="0.25">
      <c r="A1103" s="354">
        <v>1</v>
      </c>
      <c r="B1103" s="131" t="e">
        <f t="shared" si="29"/>
        <v>#REF!</v>
      </c>
      <c r="C1103" s="15" t="s">
        <v>382</v>
      </c>
      <c r="D1103" s="12"/>
      <c r="E1103" s="56">
        <v>28</v>
      </c>
      <c r="F1103" s="54"/>
      <c r="G1103" s="54"/>
      <c r="H1103" s="54"/>
    </row>
    <row r="1104" spans="1:8" s="55" customFormat="1" ht="30" hidden="1" customHeight="1" x14ac:dyDescent="0.25">
      <c r="A1104" s="354">
        <v>1</v>
      </c>
      <c r="B1104" s="131" t="e">
        <f t="shared" si="29"/>
        <v>#REF!</v>
      </c>
      <c r="C1104" s="15" t="s">
        <v>383</v>
      </c>
      <c r="D1104" s="59"/>
      <c r="E1104" s="60">
        <v>86</v>
      </c>
      <c r="F1104" s="54"/>
      <c r="G1104" s="54"/>
      <c r="H1104" s="54"/>
    </row>
    <row r="1105" spans="1:8" s="55" customFormat="1" ht="30" hidden="1" customHeight="1" x14ac:dyDescent="0.25">
      <c r="A1105" s="354">
        <v>1</v>
      </c>
      <c r="B1105" s="131" t="e">
        <f t="shared" si="29"/>
        <v>#REF!</v>
      </c>
      <c r="C1105" s="16" t="s">
        <v>194</v>
      </c>
      <c r="D1105" s="59"/>
      <c r="E1105" s="513">
        <f>SUM(E1106:E1108)</f>
        <v>19000</v>
      </c>
      <c r="F1105" s="54"/>
      <c r="G1105" s="54"/>
      <c r="H1105" s="54"/>
    </row>
    <row r="1106" spans="1:8" s="55" customFormat="1" ht="30" hidden="1" customHeight="1" x14ac:dyDescent="0.25">
      <c r="A1106" s="354">
        <v>1</v>
      </c>
      <c r="B1106" s="131" t="e">
        <f t="shared" si="29"/>
        <v>#REF!</v>
      </c>
      <c r="C1106" s="15" t="s">
        <v>384</v>
      </c>
      <c r="D1106" s="59"/>
      <c r="E1106" s="53"/>
      <c r="F1106" s="54"/>
      <c r="G1106" s="54"/>
      <c r="H1106" s="54"/>
    </row>
    <row r="1107" spans="1:8" s="55" customFormat="1" ht="45" hidden="1" customHeight="1" x14ac:dyDescent="0.25">
      <c r="A1107" s="354">
        <v>1</v>
      </c>
      <c r="B1107" s="131" t="e">
        <f t="shared" si="29"/>
        <v>#REF!</v>
      </c>
      <c r="C1107" s="15" t="s">
        <v>385</v>
      </c>
      <c r="D1107" s="59"/>
      <c r="E1107" s="53">
        <v>16000</v>
      </c>
      <c r="F1107" s="54"/>
      <c r="G1107" s="54"/>
      <c r="H1107" s="54"/>
    </row>
    <row r="1108" spans="1:8" s="55" customFormat="1" ht="45" hidden="1" customHeight="1" x14ac:dyDescent="0.25">
      <c r="A1108" s="354">
        <v>1</v>
      </c>
      <c r="B1108" s="131" t="e">
        <f t="shared" si="29"/>
        <v>#REF!</v>
      </c>
      <c r="C1108" s="15" t="s">
        <v>386</v>
      </c>
      <c r="D1108" s="59"/>
      <c r="E1108" s="53">
        <v>3000</v>
      </c>
      <c r="F1108" s="54"/>
      <c r="G1108" s="54"/>
      <c r="H1108" s="54"/>
    </row>
    <row r="1109" spans="1:8" ht="15.75" hidden="1" customHeight="1" x14ac:dyDescent="0.25">
      <c r="A1109" s="354">
        <v>1</v>
      </c>
      <c r="B1109" s="131" t="e">
        <f t="shared" si="29"/>
        <v>#REF!</v>
      </c>
      <c r="C1109" s="14" t="s">
        <v>251</v>
      </c>
      <c r="D1109" s="13"/>
      <c r="E1109" s="53">
        <f>E1110+E1111+E1115+E1116</f>
        <v>0</v>
      </c>
      <c r="F1109" s="2"/>
      <c r="G1109" s="2"/>
      <c r="H1109" s="2"/>
    </row>
    <row r="1110" spans="1:8" s="55" customFormat="1" ht="15.75" hidden="1" customHeight="1" x14ac:dyDescent="0.25">
      <c r="A1110" s="354">
        <v>1</v>
      </c>
      <c r="B1110" s="131" t="e">
        <f t="shared" si="29"/>
        <v>#REF!</v>
      </c>
      <c r="C1110" s="15" t="s">
        <v>252</v>
      </c>
      <c r="D1110" s="277"/>
      <c r="E1110" s="53"/>
      <c r="F1110" s="54"/>
      <c r="G1110" s="54"/>
      <c r="H1110" s="54"/>
    </row>
    <row r="1111" spans="1:8" s="55" customFormat="1" ht="30" hidden="1" customHeight="1" x14ac:dyDescent="0.25">
      <c r="A1111" s="354">
        <v>1</v>
      </c>
      <c r="B1111" s="131" t="e">
        <f t="shared" si="29"/>
        <v>#REF!</v>
      </c>
      <c r="C1111" s="16" t="s">
        <v>388</v>
      </c>
      <c r="D1111" s="61"/>
      <c r="E1111" s="513"/>
      <c r="F1111" s="62"/>
      <c r="G1111" s="62"/>
      <c r="H1111" s="43"/>
    </row>
    <row r="1112" spans="1:8" s="145" customFormat="1" ht="15.75" hidden="1" customHeight="1" x14ac:dyDescent="0.25">
      <c r="A1112" s="354">
        <v>1</v>
      </c>
      <c r="B1112" s="131" t="e">
        <f t="shared" si="29"/>
        <v>#REF!</v>
      </c>
      <c r="C1112" s="15" t="s">
        <v>389</v>
      </c>
      <c r="D1112" s="13"/>
      <c r="E1112" s="17"/>
      <c r="F1112" s="10"/>
      <c r="G1112" s="10"/>
      <c r="H1112" s="10"/>
    </row>
    <row r="1113" spans="1:8" s="55" customFormat="1" ht="30" hidden="1" customHeight="1" x14ac:dyDescent="0.25">
      <c r="A1113" s="354">
        <v>1</v>
      </c>
      <c r="B1113" s="131" t="e">
        <f t="shared" si="29"/>
        <v>#REF!</v>
      </c>
      <c r="C1113" s="15" t="s">
        <v>390</v>
      </c>
      <c r="D1113" s="13"/>
      <c r="E1113" s="53"/>
      <c r="F1113" s="62"/>
      <c r="G1113" s="62"/>
      <c r="H1113" s="43"/>
    </row>
    <row r="1114" spans="1:8" s="55" customFormat="1" ht="45" hidden="1" customHeight="1" x14ac:dyDescent="0.25">
      <c r="A1114" s="354">
        <v>1</v>
      </c>
      <c r="B1114" s="131" t="e">
        <f t="shared" si="29"/>
        <v>#REF!</v>
      </c>
      <c r="C1114" s="15" t="s">
        <v>391</v>
      </c>
      <c r="D1114" s="13"/>
      <c r="E1114" s="53"/>
      <c r="F1114" s="62"/>
      <c r="G1114" s="62"/>
      <c r="H1114" s="43"/>
    </row>
    <row r="1115" spans="1:8" s="55" customFormat="1" ht="45" hidden="1" customHeight="1" x14ac:dyDescent="0.25">
      <c r="A1115" s="354">
        <v>1</v>
      </c>
      <c r="B1115" s="131" t="e">
        <f t="shared" si="29"/>
        <v>#REF!</v>
      </c>
      <c r="C1115" s="15" t="s">
        <v>392</v>
      </c>
      <c r="D1115" s="13"/>
      <c r="E1115" s="60"/>
      <c r="F1115" s="62"/>
      <c r="G1115" s="62"/>
      <c r="H1115" s="43"/>
    </row>
    <row r="1116" spans="1:8" s="55" customFormat="1" ht="45" hidden="1" customHeight="1" x14ac:dyDescent="0.25">
      <c r="A1116" s="354">
        <v>1</v>
      </c>
      <c r="B1116" s="131" t="e">
        <f t="shared" si="29"/>
        <v>#REF!</v>
      </c>
      <c r="C1116" s="18" t="s">
        <v>393</v>
      </c>
      <c r="D1116" s="13"/>
      <c r="E1116" s="60"/>
      <c r="F1116" s="62"/>
      <c r="G1116" s="62"/>
      <c r="H1116" s="43"/>
    </row>
    <row r="1117" spans="1:8" s="55" customFormat="1" ht="15.75" hidden="1" customHeight="1" x14ac:dyDescent="0.25">
      <c r="A1117" s="354">
        <v>1</v>
      </c>
      <c r="B1117" s="131" t="e">
        <f t="shared" si="29"/>
        <v>#REF!</v>
      </c>
      <c r="C1117" s="14" t="s">
        <v>253</v>
      </c>
      <c r="D1117" s="13"/>
      <c r="E1117" s="60">
        <f>E1118+E1119+E1121</f>
        <v>120</v>
      </c>
      <c r="F1117" s="62"/>
      <c r="G1117" s="62"/>
      <c r="H1117" s="43"/>
    </row>
    <row r="1118" spans="1:8" s="55" customFormat="1" ht="15.75" hidden="1" customHeight="1" x14ac:dyDescent="0.25">
      <c r="A1118" s="354">
        <v>1</v>
      </c>
      <c r="B1118" s="131" t="e">
        <f t="shared" si="29"/>
        <v>#REF!</v>
      </c>
      <c r="C1118" s="14" t="s">
        <v>254</v>
      </c>
      <c r="D1118" s="13"/>
      <c r="E1118" s="60"/>
      <c r="F1118" s="62"/>
      <c r="G1118" s="62"/>
      <c r="H1118" s="43"/>
    </row>
    <row r="1119" spans="1:8" s="55" customFormat="1" ht="15.75" hidden="1" customHeight="1" x14ac:dyDescent="0.25">
      <c r="A1119" s="354">
        <v>1</v>
      </c>
      <c r="B1119" s="131" t="e">
        <f t="shared" si="29"/>
        <v>#REF!</v>
      </c>
      <c r="C1119" s="15" t="s">
        <v>255</v>
      </c>
      <c r="D1119" s="13"/>
      <c r="E1119" s="60"/>
      <c r="F1119" s="62"/>
      <c r="G1119" s="62"/>
      <c r="H1119" s="43"/>
    </row>
    <row r="1120" spans="1:8" s="55" customFormat="1" ht="15.75" hidden="1" customHeight="1" x14ac:dyDescent="0.25">
      <c r="A1120" s="354">
        <v>1</v>
      </c>
      <c r="B1120" s="131" t="e">
        <f t="shared" si="29"/>
        <v>#REF!</v>
      </c>
      <c r="C1120" s="42" t="s">
        <v>261</v>
      </c>
      <c r="D1120" s="13"/>
      <c r="E1120" s="68"/>
      <c r="F1120" s="62"/>
      <c r="G1120" s="62"/>
      <c r="H1120" s="43"/>
    </row>
    <row r="1121" spans="1:8" s="55" customFormat="1" ht="30" hidden="1" x14ac:dyDescent="0.25">
      <c r="A1121" s="354"/>
      <c r="B1121" s="131"/>
      <c r="C1121" s="42" t="s">
        <v>429</v>
      </c>
      <c r="D1121" s="13"/>
      <c r="E1121" s="68">
        <f>SUM(E1122:E1124)</f>
        <v>120</v>
      </c>
      <c r="F1121" s="62"/>
      <c r="G1121" s="62"/>
      <c r="H1121" s="43"/>
    </row>
    <row r="1122" spans="1:8" s="55" customFormat="1" ht="60" hidden="1" x14ac:dyDescent="0.25">
      <c r="A1122" s="354"/>
      <c r="B1122" s="131"/>
      <c r="C1122" s="42" t="s">
        <v>339</v>
      </c>
      <c r="D1122" s="13"/>
      <c r="E1122" s="68">
        <v>3</v>
      </c>
      <c r="F1122" s="62"/>
      <c r="G1122" s="62"/>
      <c r="H1122" s="43"/>
    </row>
    <row r="1123" spans="1:8" s="55" customFormat="1" ht="46.5" hidden="1" customHeight="1" x14ac:dyDescent="0.25">
      <c r="A1123" s="354"/>
      <c r="B1123" s="131"/>
      <c r="C1123" s="42" t="s">
        <v>341</v>
      </c>
      <c r="D1123" s="13"/>
      <c r="E1123" s="68">
        <v>90</v>
      </c>
      <c r="F1123" s="62"/>
      <c r="G1123" s="62"/>
      <c r="H1123" s="43"/>
    </row>
    <row r="1124" spans="1:8" s="55" customFormat="1" ht="45" hidden="1" x14ac:dyDescent="0.25">
      <c r="A1124" s="354"/>
      <c r="B1124" s="131"/>
      <c r="C1124" s="42" t="s">
        <v>343</v>
      </c>
      <c r="D1124" s="13"/>
      <c r="E1124" s="68">
        <v>27</v>
      </c>
      <c r="F1124" s="62"/>
      <c r="G1124" s="62"/>
      <c r="H1124" s="43"/>
    </row>
    <row r="1125" spans="1:8" s="55" customFormat="1" ht="29.25" hidden="1" customHeight="1" x14ac:dyDescent="0.25">
      <c r="A1125" s="354">
        <v>1</v>
      </c>
      <c r="B1125" s="131" t="e">
        <f>B1120+1</f>
        <v>#REF!</v>
      </c>
      <c r="C1125" s="14" t="s">
        <v>256</v>
      </c>
      <c r="D1125" s="13"/>
      <c r="E1125" s="53">
        <v>16000</v>
      </c>
      <c r="F1125" s="62"/>
      <c r="G1125" s="62"/>
      <c r="H1125" s="43"/>
    </row>
    <row r="1126" spans="1:8" s="55" customFormat="1" ht="15.75" hidden="1" customHeight="1" x14ac:dyDescent="0.25">
      <c r="A1126" s="354">
        <v>1</v>
      </c>
      <c r="B1126" s="131" t="e">
        <f t="shared" si="29"/>
        <v>#REF!</v>
      </c>
      <c r="C1126" s="19" t="s">
        <v>117</v>
      </c>
      <c r="D1126" s="13"/>
      <c r="E1126" s="53"/>
      <c r="F1126" s="62"/>
      <c r="G1126" s="62"/>
      <c r="H1126" s="43"/>
    </row>
    <row r="1127" spans="1:8" s="55" customFormat="1" ht="57.75" hidden="1" customHeight="1" x14ac:dyDescent="0.25">
      <c r="A1127" s="354">
        <v>1</v>
      </c>
      <c r="B1127" s="131" t="e">
        <f t="shared" ref="B1127:B1192" si="31">B1126+1</f>
        <v>#REF!</v>
      </c>
      <c r="C1127" s="21" t="s">
        <v>259</v>
      </c>
      <c r="D1127" s="13"/>
      <c r="E1127" s="550"/>
      <c r="F1127" s="62"/>
      <c r="G1127" s="62"/>
      <c r="H1127" s="43"/>
    </row>
    <row r="1128" spans="1:8" s="55" customFormat="1" ht="15.75" hidden="1" customHeight="1" x14ac:dyDescent="0.25">
      <c r="A1128" s="354">
        <v>1</v>
      </c>
      <c r="B1128" s="131" t="e">
        <f t="shared" si="31"/>
        <v>#REF!</v>
      </c>
      <c r="C1128" s="20" t="s">
        <v>165</v>
      </c>
      <c r="D1128" s="13"/>
      <c r="E1128" s="528">
        <f>SUM(E1129:E1130)</f>
        <v>1300</v>
      </c>
      <c r="F1128" s="77"/>
      <c r="G1128" s="77"/>
      <c r="H1128" s="43"/>
    </row>
    <row r="1129" spans="1:8" s="55" customFormat="1" ht="30" hidden="1" customHeight="1" x14ac:dyDescent="0.25">
      <c r="A1129" s="354">
        <v>1</v>
      </c>
      <c r="B1129" s="131" t="e">
        <f t="shared" si="31"/>
        <v>#REF!</v>
      </c>
      <c r="C1129" s="147" t="s">
        <v>204</v>
      </c>
      <c r="D1129" s="13"/>
      <c r="E1129" s="550">
        <v>800</v>
      </c>
      <c r="F1129" s="62"/>
      <c r="G1129" s="62"/>
      <c r="H1129" s="43"/>
    </row>
    <row r="1130" spans="1:8" s="55" customFormat="1" ht="30" hidden="1" customHeight="1" x14ac:dyDescent="0.25">
      <c r="A1130" s="354"/>
      <c r="B1130" s="131"/>
      <c r="C1130" s="147" t="s">
        <v>199</v>
      </c>
      <c r="D1130" s="13"/>
      <c r="E1130" s="550">
        <v>500</v>
      </c>
      <c r="F1130" s="62"/>
      <c r="G1130" s="62"/>
      <c r="H1130" s="43"/>
    </row>
    <row r="1131" spans="1:8" s="55" customFormat="1" ht="15.75" hidden="1" customHeight="1" x14ac:dyDescent="0.25">
      <c r="A1131" s="354">
        <v>1</v>
      </c>
      <c r="B1131" s="131" t="e">
        <f>B1129+1</f>
        <v>#REF!</v>
      </c>
      <c r="C1131" s="21" t="s">
        <v>195</v>
      </c>
      <c r="D1131" s="13"/>
      <c r="E1131" s="528">
        <f>E1109+E1089</f>
        <v>27100</v>
      </c>
      <c r="F1131" s="62"/>
      <c r="G1131" s="62"/>
      <c r="H1131" s="43"/>
    </row>
    <row r="1132" spans="1:8" s="55" customFormat="1" ht="29.25" hidden="1" customHeight="1" x14ac:dyDescent="0.25">
      <c r="A1132" s="354">
        <v>1</v>
      </c>
      <c r="B1132" s="131" t="e">
        <f t="shared" si="31"/>
        <v>#REF!</v>
      </c>
      <c r="C1132" s="21" t="s">
        <v>196</v>
      </c>
      <c r="D1132" s="13"/>
      <c r="E1132" s="508">
        <f>E1099</f>
        <v>19114</v>
      </c>
      <c r="F1132" s="62"/>
      <c r="G1132" s="62"/>
      <c r="H1132" s="43"/>
    </row>
    <row r="1133" spans="1:8" s="55" customFormat="1" ht="15.75" hidden="1" customHeight="1" x14ac:dyDescent="0.25">
      <c r="A1133" s="354">
        <v>1</v>
      </c>
      <c r="B1133" s="131" t="e">
        <f t="shared" si="31"/>
        <v>#REF!</v>
      </c>
      <c r="C1133" s="21" t="s">
        <v>197</v>
      </c>
      <c r="D1133" s="13"/>
      <c r="E1133" s="508">
        <f>E1117+E1095</f>
        <v>40129</v>
      </c>
      <c r="F1133" s="62"/>
      <c r="G1133" s="62"/>
      <c r="H1133" s="43"/>
    </row>
    <row r="1134" spans="1:8" s="55" customFormat="1" ht="29.25" hidden="1" customHeight="1" x14ac:dyDescent="0.25">
      <c r="A1134" s="354">
        <v>1</v>
      </c>
      <c r="B1134" s="131" t="e">
        <f t="shared" si="31"/>
        <v>#REF!</v>
      </c>
      <c r="C1134" s="21" t="s">
        <v>198</v>
      </c>
      <c r="D1134" s="13"/>
      <c r="E1134" s="508">
        <f>E1125</f>
        <v>16000</v>
      </c>
      <c r="F1134" s="62"/>
      <c r="G1134" s="62"/>
      <c r="H1134" s="43"/>
    </row>
    <row r="1135" spans="1:8" s="55" customFormat="1" ht="15.75" hidden="1" customHeight="1" x14ac:dyDescent="0.25">
      <c r="A1135" s="354">
        <v>1</v>
      </c>
      <c r="B1135" s="131" t="e">
        <f t="shared" si="31"/>
        <v>#REF!</v>
      </c>
      <c r="C1135" s="22" t="s">
        <v>112</v>
      </c>
      <c r="D1135" s="59"/>
      <c r="E1135" s="513">
        <f>E1131+E1132+E1134+E1095*2.6+E1121*10</f>
        <v>167437.40000000002</v>
      </c>
      <c r="F1135" s="62"/>
      <c r="G1135" s="62"/>
      <c r="H1135" s="43"/>
    </row>
    <row r="1136" spans="1:8" ht="15.75" hidden="1" customHeight="1" x14ac:dyDescent="0.25">
      <c r="A1136" s="354">
        <v>1</v>
      </c>
      <c r="B1136" s="131" t="e">
        <f t="shared" si="31"/>
        <v>#REF!</v>
      </c>
      <c r="C1136" s="44" t="s">
        <v>7</v>
      </c>
      <c r="D1136" s="380"/>
      <c r="E1136" s="469"/>
      <c r="F1136" s="2"/>
      <c r="G1136" s="2"/>
      <c r="H1136" s="2"/>
    </row>
    <row r="1137" spans="1:8" ht="15.75" hidden="1" customHeight="1" x14ac:dyDescent="0.25">
      <c r="A1137" s="354">
        <v>1</v>
      </c>
      <c r="B1137" s="131" t="e">
        <f t="shared" si="31"/>
        <v>#REF!</v>
      </c>
      <c r="C1137" s="293" t="s">
        <v>71</v>
      </c>
      <c r="D1137" s="380"/>
      <c r="E1137" s="469"/>
      <c r="F1137" s="2"/>
      <c r="G1137" s="2"/>
      <c r="H1137" s="2"/>
    </row>
    <row r="1138" spans="1:8" ht="15.75" hidden="1" customHeight="1" x14ac:dyDescent="0.25">
      <c r="A1138" s="354">
        <v>1</v>
      </c>
      <c r="B1138" s="131" t="e">
        <f t="shared" si="31"/>
        <v>#REF!</v>
      </c>
      <c r="C1138" s="468" t="s">
        <v>177</v>
      </c>
      <c r="D1138" s="380">
        <v>240</v>
      </c>
      <c r="E1138" s="469">
        <v>45</v>
      </c>
      <c r="F1138" s="2">
        <v>1</v>
      </c>
      <c r="G1138" s="2">
        <f>ROUND(H1138/D1138,0)</f>
        <v>0</v>
      </c>
      <c r="H1138" s="2">
        <f>ROUND(E1138*F1138,0)</f>
        <v>45</v>
      </c>
    </row>
    <row r="1139" spans="1:8" ht="15.75" hidden="1" customHeight="1" x14ac:dyDescent="0.25">
      <c r="A1139" s="354"/>
      <c r="B1139" s="131"/>
      <c r="C1139" s="25" t="s">
        <v>43</v>
      </c>
      <c r="D1139" s="24">
        <v>240</v>
      </c>
      <c r="E1139" s="10">
        <v>160</v>
      </c>
      <c r="F1139" s="213">
        <v>8</v>
      </c>
      <c r="G1139" s="2">
        <f>ROUND(H1139/D1139,0)</f>
        <v>5</v>
      </c>
      <c r="H1139" s="10">
        <f>ROUND(E1139*F1139,0)</f>
        <v>1280</v>
      </c>
    </row>
    <row r="1140" spans="1:8" ht="15.75" hidden="1" customHeight="1" x14ac:dyDescent="0.25">
      <c r="A1140" s="354">
        <v>1</v>
      </c>
      <c r="B1140" s="131" t="e">
        <f>B1138+1</f>
        <v>#REF!</v>
      </c>
      <c r="C1140" s="539" t="s">
        <v>24</v>
      </c>
      <c r="D1140" s="52">
        <v>240</v>
      </c>
      <c r="E1140" s="53">
        <v>810</v>
      </c>
      <c r="F1140" s="47">
        <v>8</v>
      </c>
      <c r="G1140" s="2">
        <f>ROUND(H1140/D1140,0)</f>
        <v>27</v>
      </c>
      <c r="H1140" s="2">
        <f>ROUND(E1140*F1140,0)</f>
        <v>6480</v>
      </c>
    </row>
    <row r="1141" spans="1:8" ht="15.75" hidden="1" customHeight="1" x14ac:dyDescent="0.25">
      <c r="A1141" s="354">
        <v>1</v>
      </c>
      <c r="B1141" s="131" t="e">
        <f t="shared" si="31"/>
        <v>#REF!</v>
      </c>
      <c r="C1141" s="547" t="s">
        <v>94</v>
      </c>
      <c r="D1141" s="52"/>
      <c r="E1141" s="506">
        <f>SUM(E1138:E1140)</f>
        <v>1015</v>
      </c>
      <c r="F1141" s="525">
        <f>H1141/E1141</f>
        <v>7.6896551724137927</v>
      </c>
      <c r="G1141" s="31">
        <f>SUM(G1138:G1140)</f>
        <v>32</v>
      </c>
      <c r="H1141" s="31">
        <f>SUM(H1138:H1140)</f>
        <v>7805</v>
      </c>
    </row>
    <row r="1142" spans="1:8" ht="15.75" hidden="1" customHeight="1" x14ac:dyDescent="0.25">
      <c r="A1142" s="354">
        <v>1</v>
      </c>
      <c r="B1142" s="131" t="e">
        <f t="shared" si="31"/>
        <v>#REF!</v>
      </c>
      <c r="C1142" s="548" t="s">
        <v>88</v>
      </c>
      <c r="D1142" s="52"/>
      <c r="E1142" s="518">
        <f>E1141</f>
        <v>1015</v>
      </c>
      <c r="F1142" s="75">
        <f t="shared" ref="F1142:H1142" si="32">F1141</f>
        <v>7.6896551724137927</v>
      </c>
      <c r="G1142" s="289">
        <f t="shared" si="32"/>
        <v>32</v>
      </c>
      <c r="H1142" s="289">
        <f t="shared" si="32"/>
        <v>7805</v>
      </c>
    </row>
    <row r="1143" spans="1:8" s="51" customFormat="1" ht="16.5" hidden="1" customHeight="1" thickBot="1" x14ac:dyDescent="0.3">
      <c r="A1143" s="354">
        <v>1</v>
      </c>
      <c r="B1143" s="131" t="e">
        <f t="shared" si="31"/>
        <v>#REF!</v>
      </c>
      <c r="C1143" s="495" t="s">
        <v>213</v>
      </c>
      <c r="D1143" s="381"/>
      <c r="E1143" s="570"/>
      <c r="F1143" s="571"/>
      <c r="G1143" s="571"/>
      <c r="H1143" s="571"/>
    </row>
    <row r="1144" spans="1:8" ht="15.75" hidden="1" customHeight="1" x14ac:dyDescent="0.25">
      <c r="A1144" s="354">
        <v>1</v>
      </c>
      <c r="B1144" s="131" t="e">
        <f t="shared" si="31"/>
        <v>#REF!</v>
      </c>
      <c r="C1144" s="535"/>
      <c r="D1144" s="375"/>
      <c r="E1144" s="493"/>
      <c r="F1144" s="494"/>
      <c r="G1144" s="494"/>
      <c r="H1144" s="494"/>
    </row>
    <row r="1145" spans="1:8" ht="29.25" hidden="1" customHeight="1" x14ac:dyDescent="0.25">
      <c r="A1145" s="354">
        <v>1</v>
      </c>
      <c r="B1145" s="131" t="e">
        <f t="shared" si="31"/>
        <v>#REF!</v>
      </c>
      <c r="C1145" s="686" t="s">
        <v>368</v>
      </c>
      <c r="D1145" s="52"/>
      <c r="E1145" s="53"/>
      <c r="F1145" s="2"/>
      <c r="G1145" s="2"/>
      <c r="H1145" s="2"/>
    </row>
    <row r="1146" spans="1:8" s="51" customFormat="1" ht="15.75" hidden="1" customHeight="1" x14ac:dyDescent="0.25">
      <c r="A1146" s="354">
        <v>1</v>
      </c>
      <c r="B1146" s="131" t="e">
        <f t="shared" si="31"/>
        <v>#REF!</v>
      </c>
      <c r="C1146" s="67" t="s">
        <v>111</v>
      </c>
      <c r="D1146" s="13"/>
      <c r="E1146" s="53"/>
      <c r="F1146" s="2"/>
      <c r="G1146" s="2"/>
      <c r="H1146" s="2"/>
    </row>
    <row r="1147" spans="1:8" s="51" customFormat="1" ht="15.75" hidden="1" customHeight="1" x14ac:dyDescent="0.25">
      <c r="A1147" s="354">
        <v>1</v>
      </c>
      <c r="B1147" s="131" t="e">
        <f t="shared" si="31"/>
        <v>#REF!</v>
      </c>
      <c r="C1147" s="12" t="s">
        <v>98</v>
      </c>
      <c r="D1147" s="13"/>
      <c r="E1147" s="53"/>
      <c r="F1147" s="2"/>
      <c r="G1147" s="2"/>
      <c r="H1147" s="2"/>
    </row>
    <row r="1148" spans="1:8" s="51" customFormat="1" ht="15.75" hidden="1" customHeight="1" x14ac:dyDescent="0.25">
      <c r="A1148" s="354">
        <v>1</v>
      </c>
      <c r="B1148" s="131" t="e">
        <f t="shared" si="31"/>
        <v>#REF!</v>
      </c>
      <c r="C1148" s="14" t="s">
        <v>251</v>
      </c>
      <c r="D1148" s="13"/>
      <c r="E1148" s="53">
        <f>E1149</f>
        <v>5300</v>
      </c>
      <c r="F1148" s="2"/>
      <c r="G1148" s="2"/>
      <c r="H1148" s="2"/>
    </row>
    <row r="1149" spans="1:8" s="51" customFormat="1" ht="30" hidden="1" customHeight="1" x14ac:dyDescent="0.25">
      <c r="A1149" s="354">
        <v>1</v>
      </c>
      <c r="B1149" s="131" t="e">
        <f t="shared" si="31"/>
        <v>#REF!</v>
      </c>
      <c r="C1149" s="264" t="s">
        <v>388</v>
      </c>
      <c r="D1149" s="13"/>
      <c r="E1149" s="53">
        <f>E1150/4</f>
        <v>5300</v>
      </c>
      <c r="F1149" s="2"/>
      <c r="G1149" s="2"/>
      <c r="H1149" s="2"/>
    </row>
    <row r="1150" spans="1:8" s="51" customFormat="1" ht="30" hidden="1" customHeight="1" x14ac:dyDescent="0.25">
      <c r="A1150" s="354">
        <v>1</v>
      </c>
      <c r="B1150" s="131" t="e">
        <f t="shared" si="31"/>
        <v>#REF!</v>
      </c>
      <c r="C1150" s="15" t="s">
        <v>390</v>
      </c>
      <c r="D1150" s="13"/>
      <c r="E1150" s="53">
        <v>21200</v>
      </c>
      <c r="F1150" s="2"/>
      <c r="G1150" s="2"/>
      <c r="H1150" s="2"/>
    </row>
    <row r="1151" spans="1:8" s="51" customFormat="1" ht="15.75" hidden="1" customHeight="1" x14ac:dyDescent="0.25">
      <c r="A1151" s="354">
        <v>1</v>
      </c>
      <c r="B1151" s="131" t="e">
        <f t="shared" si="31"/>
        <v>#REF!</v>
      </c>
      <c r="C1151" s="14" t="s">
        <v>253</v>
      </c>
      <c r="D1151" s="13"/>
      <c r="E1151" s="53">
        <f>E1152</f>
        <v>31088.191489361699</v>
      </c>
      <c r="F1151" s="2"/>
      <c r="G1151" s="2"/>
      <c r="H1151" s="2"/>
    </row>
    <row r="1152" spans="1:8" s="51" customFormat="1" ht="15.75" hidden="1" customHeight="1" x14ac:dyDescent="0.25">
      <c r="A1152" s="354">
        <v>1</v>
      </c>
      <c r="B1152" s="131" t="e">
        <f t="shared" si="31"/>
        <v>#REF!</v>
      </c>
      <c r="C1152" s="15" t="s">
        <v>255</v>
      </c>
      <c r="D1152" s="13"/>
      <c r="E1152" s="53">
        <f>E1153/9.4+E1154/9.4</f>
        <v>31088.191489361699</v>
      </c>
      <c r="F1152" s="2"/>
      <c r="G1152" s="2"/>
      <c r="H1152" s="2"/>
    </row>
    <row r="1153" spans="1:8" s="51" customFormat="1" ht="15.75" hidden="1" customHeight="1" x14ac:dyDescent="0.25">
      <c r="A1153" s="354">
        <v>1</v>
      </c>
      <c r="B1153" s="131" t="e">
        <f t="shared" si="31"/>
        <v>#REF!</v>
      </c>
      <c r="C1153" s="42" t="s">
        <v>261</v>
      </c>
      <c r="D1153" s="24"/>
      <c r="E1153" s="53">
        <v>287729</v>
      </c>
      <c r="F1153" s="24"/>
      <c r="G1153" s="24"/>
      <c r="H1153" s="24"/>
    </row>
    <row r="1154" spans="1:8" s="51" customFormat="1" ht="15.75" hidden="1" customHeight="1" x14ac:dyDescent="0.25">
      <c r="A1154" s="354">
        <v>1</v>
      </c>
      <c r="B1154" s="131" t="e">
        <f t="shared" si="31"/>
        <v>#REF!</v>
      </c>
      <c r="C1154" s="42" t="s">
        <v>264</v>
      </c>
      <c r="D1154" s="13"/>
      <c r="E1154" s="53">
        <v>4500</v>
      </c>
      <c r="F1154" s="2"/>
      <c r="G1154" s="2"/>
      <c r="H1154" s="2"/>
    </row>
    <row r="1155" spans="1:8" s="51" customFormat="1" ht="15.75" hidden="1" customHeight="1" x14ac:dyDescent="0.25">
      <c r="A1155" s="354">
        <v>1</v>
      </c>
      <c r="B1155" s="131" t="e">
        <f t="shared" si="31"/>
        <v>#REF!</v>
      </c>
      <c r="C1155" s="21" t="s">
        <v>195</v>
      </c>
      <c r="D1155" s="13"/>
      <c r="E1155" s="508">
        <f>E1148</f>
        <v>5300</v>
      </c>
      <c r="F1155" s="2"/>
      <c r="G1155" s="2"/>
      <c r="H1155" s="2"/>
    </row>
    <row r="1156" spans="1:8" s="51" customFormat="1" ht="15.75" hidden="1" customHeight="1" x14ac:dyDescent="0.25">
      <c r="A1156" s="354">
        <v>1</v>
      </c>
      <c r="B1156" s="131" t="e">
        <f t="shared" si="31"/>
        <v>#REF!</v>
      </c>
      <c r="C1156" s="21" t="s">
        <v>197</v>
      </c>
      <c r="D1156" s="13"/>
      <c r="E1156" s="508">
        <f>E1151</f>
        <v>31088.191489361699</v>
      </c>
      <c r="F1156" s="2"/>
      <c r="G1156" s="2"/>
      <c r="H1156" s="2"/>
    </row>
    <row r="1157" spans="1:8" s="51" customFormat="1" ht="15.75" hidden="1" customHeight="1" x14ac:dyDescent="0.25">
      <c r="A1157" s="354">
        <v>1</v>
      </c>
      <c r="B1157" s="131" t="e">
        <f t="shared" si="31"/>
        <v>#REF!</v>
      </c>
      <c r="C1157" s="22" t="s">
        <v>112</v>
      </c>
      <c r="D1157" s="13"/>
      <c r="E1157" s="508">
        <f>(E1153+E1154)/4.2+E1155</f>
        <v>74878.333333333328</v>
      </c>
      <c r="F1157" s="2"/>
      <c r="G1157" s="2"/>
      <c r="H1157" s="2"/>
    </row>
    <row r="1158" spans="1:8" ht="16.5" hidden="1" customHeight="1" thickBot="1" x14ac:dyDescent="0.3">
      <c r="A1158" s="354">
        <v>1</v>
      </c>
      <c r="B1158" s="131" t="e">
        <f t="shared" si="31"/>
        <v>#REF!</v>
      </c>
      <c r="C1158" s="572" t="s">
        <v>213</v>
      </c>
      <c r="D1158" s="370"/>
      <c r="E1158" s="573"/>
      <c r="F1158" s="370"/>
      <c r="G1158" s="370"/>
      <c r="H1158" s="370"/>
    </row>
    <row r="1159" spans="1:8" ht="15.75" hidden="1" customHeight="1" x14ac:dyDescent="0.25">
      <c r="A1159" s="354">
        <v>1</v>
      </c>
      <c r="B1159" s="131" t="e">
        <f t="shared" si="31"/>
        <v>#REF!</v>
      </c>
      <c r="C1159" s="535"/>
      <c r="D1159" s="375"/>
      <c r="E1159" s="493"/>
      <c r="F1159" s="494"/>
      <c r="G1159" s="494"/>
      <c r="H1159" s="494"/>
    </row>
    <row r="1160" spans="1:8" ht="29.25" hidden="1" customHeight="1" x14ac:dyDescent="0.25">
      <c r="A1160" s="354">
        <v>1</v>
      </c>
      <c r="B1160" s="131" t="e">
        <f t="shared" si="31"/>
        <v>#REF!</v>
      </c>
      <c r="C1160" s="686" t="s">
        <v>369</v>
      </c>
      <c r="D1160" s="52"/>
      <c r="E1160" s="53"/>
      <c r="F1160" s="2"/>
      <c r="G1160" s="2"/>
      <c r="H1160" s="2"/>
    </row>
    <row r="1161" spans="1:8" s="55" customFormat="1" ht="45" hidden="1" customHeight="1" x14ac:dyDescent="0.25">
      <c r="A1161" s="354">
        <v>1</v>
      </c>
      <c r="B1161" s="131" t="e">
        <f t="shared" si="31"/>
        <v>#REF!</v>
      </c>
      <c r="C1161" s="128" t="s">
        <v>250</v>
      </c>
      <c r="D1161" s="12"/>
      <c r="E1161" s="512"/>
      <c r="F1161" s="54"/>
      <c r="G1161" s="54"/>
      <c r="H1161" s="54"/>
    </row>
    <row r="1162" spans="1:8" s="55" customFormat="1" ht="15.75" hidden="1" customHeight="1" x14ac:dyDescent="0.25">
      <c r="A1162" s="354">
        <v>1</v>
      </c>
      <c r="B1162" s="131" t="e">
        <f t="shared" si="31"/>
        <v>#REF!</v>
      </c>
      <c r="C1162" s="14" t="s">
        <v>192</v>
      </c>
      <c r="D1162" s="12"/>
      <c r="E1162" s="512">
        <f>E1164+E1166+E1167</f>
        <v>17200</v>
      </c>
      <c r="F1162" s="54"/>
      <c r="G1162" s="54"/>
      <c r="H1162" s="54"/>
    </row>
    <row r="1163" spans="1:8" s="55" customFormat="1" ht="15.75" hidden="1" customHeight="1" x14ac:dyDescent="0.25">
      <c r="A1163" s="354">
        <v>1</v>
      </c>
      <c r="B1163" s="131" t="e">
        <f t="shared" si="31"/>
        <v>#REF!</v>
      </c>
      <c r="C1163" s="18" t="s">
        <v>116</v>
      </c>
      <c r="D1163" s="12"/>
      <c r="E1163" s="512"/>
      <c r="F1163" s="54"/>
      <c r="G1163" s="54"/>
      <c r="H1163" s="54"/>
    </row>
    <row r="1164" spans="1:8" s="55" customFormat="1" ht="30" hidden="1" customHeight="1" x14ac:dyDescent="0.25">
      <c r="A1164" s="354">
        <v>1</v>
      </c>
      <c r="B1164" s="131" t="e">
        <f t="shared" si="31"/>
        <v>#REF!</v>
      </c>
      <c r="C1164" s="15" t="s">
        <v>397</v>
      </c>
      <c r="D1164" s="12"/>
      <c r="E1164" s="56">
        <v>11500</v>
      </c>
      <c r="F1164" s="54"/>
      <c r="G1164" s="54"/>
      <c r="H1164" s="54"/>
    </row>
    <row r="1165" spans="1:8" s="55" customFormat="1" ht="45" hidden="1" customHeight="1" x14ac:dyDescent="0.25">
      <c r="A1165" s="354">
        <v>1</v>
      </c>
      <c r="B1165" s="131" t="e">
        <f t="shared" si="31"/>
        <v>#REF!</v>
      </c>
      <c r="C1165" s="15" t="s">
        <v>398</v>
      </c>
      <c r="D1165" s="12"/>
      <c r="E1165" s="56"/>
      <c r="F1165" s="54"/>
      <c r="G1165" s="54"/>
      <c r="H1165" s="54"/>
    </row>
    <row r="1166" spans="1:8" s="55" customFormat="1" ht="45" hidden="1" customHeight="1" x14ac:dyDescent="0.25">
      <c r="A1166" s="354">
        <v>1</v>
      </c>
      <c r="B1166" s="131" t="e">
        <f t="shared" si="31"/>
        <v>#REF!</v>
      </c>
      <c r="C1166" s="15" t="s">
        <v>399</v>
      </c>
      <c r="D1166" s="12"/>
      <c r="E1166" s="56">
        <v>5200</v>
      </c>
      <c r="F1166" s="54"/>
      <c r="G1166" s="54"/>
      <c r="H1166" s="54"/>
    </row>
    <row r="1167" spans="1:8" s="55" customFormat="1" ht="75" hidden="1" customHeight="1" x14ac:dyDescent="0.25">
      <c r="A1167" s="354">
        <v>1</v>
      </c>
      <c r="B1167" s="131" t="e">
        <f t="shared" si="31"/>
        <v>#REF!</v>
      </c>
      <c r="C1167" s="15" t="s">
        <v>400</v>
      </c>
      <c r="D1167" s="12"/>
      <c r="E1167" s="56">
        <v>500</v>
      </c>
      <c r="F1167" s="54"/>
      <c r="G1167" s="54"/>
      <c r="H1167" s="54"/>
    </row>
    <row r="1168" spans="1:8" s="55" customFormat="1" ht="15.75" hidden="1" customHeight="1" x14ac:dyDescent="0.25">
      <c r="A1168" s="354">
        <v>1</v>
      </c>
      <c r="B1168" s="131" t="e">
        <f t="shared" si="31"/>
        <v>#REF!</v>
      </c>
      <c r="C1168" s="57" t="s">
        <v>90</v>
      </c>
      <c r="D1168" s="12"/>
      <c r="E1168" s="512">
        <f>E1169+E1170</f>
        <v>29273</v>
      </c>
      <c r="F1168" s="54"/>
      <c r="G1168" s="54"/>
      <c r="H1168" s="54"/>
    </row>
    <row r="1169" spans="1:8" s="55" customFormat="1" ht="15.75" hidden="1" customHeight="1" x14ac:dyDescent="0.25">
      <c r="A1169" s="354">
        <v>1</v>
      </c>
      <c r="B1169" s="131" t="e">
        <f t="shared" si="31"/>
        <v>#REF!</v>
      </c>
      <c r="C1169" s="19" t="s">
        <v>145</v>
      </c>
      <c r="D1169" s="12"/>
      <c r="E1169" s="56">
        <v>25000</v>
      </c>
      <c r="F1169" s="54"/>
      <c r="G1169" s="54"/>
      <c r="H1169" s="54"/>
    </row>
    <row r="1170" spans="1:8" s="55" customFormat="1" ht="45" hidden="1" x14ac:dyDescent="0.25">
      <c r="A1170" s="354">
        <v>1</v>
      </c>
      <c r="B1170" s="131" t="e">
        <f t="shared" si="31"/>
        <v>#REF!</v>
      </c>
      <c r="C1170" s="19" t="s">
        <v>414</v>
      </c>
      <c r="D1170" s="12"/>
      <c r="E1170" s="56">
        <v>4273</v>
      </c>
      <c r="F1170" s="54"/>
      <c r="G1170" s="54"/>
      <c r="H1170" s="54"/>
    </row>
    <row r="1171" spans="1:8" s="55" customFormat="1" ht="15.75" hidden="1" customHeight="1" x14ac:dyDescent="0.25">
      <c r="A1171" s="354">
        <v>1</v>
      </c>
      <c r="B1171" s="131" t="e">
        <f t="shared" si="31"/>
        <v>#REF!</v>
      </c>
      <c r="C1171" s="33" t="s">
        <v>98</v>
      </c>
      <c r="D1171" s="12"/>
      <c r="E1171" s="56"/>
      <c r="F1171" s="54"/>
      <c r="G1171" s="54"/>
      <c r="H1171" s="54"/>
    </row>
    <row r="1172" spans="1:8" s="55" customFormat="1" ht="47.25" hidden="1" customHeight="1" x14ac:dyDescent="0.25">
      <c r="A1172" s="354">
        <v>1</v>
      </c>
      <c r="B1172" s="131" t="e">
        <f t="shared" si="31"/>
        <v>#REF!</v>
      </c>
      <c r="C1172" s="58" t="s">
        <v>333</v>
      </c>
      <c r="D1172" s="12"/>
      <c r="E1172" s="512">
        <f>E1173+E1178</f>
        <v>22595</v>
      </c>
      <c r="F1172" s="54"/>
      <c r="G1172" s="54"/>
      <c r="H1172" s="54"/>
    </row>
    <row r="1173" spans="1:8" s="55" customFormat="1" ht="15" hidden="1" customHeight="1" x14ac:dyDescent="0.25">
      <c r="A1173" s="354">
        <v>1</v>
      </c>
      <c r="B1173" s="131" t="e">
        <f t="shared" si="31"/>
        <v>#REF!</v>
      </c>
      <c r="C1173" s="16" t="s">
        <v>193</v>
      </c>
      <c r="D1173" s="12"/>
      <c r="E1173" s="512">
        <f>SUM(E1174:E1177)</f>
        <v>95</v>
      </c>
      <c r="F1173" s="54"/>
      <c r="G1173" s="54"/>
      <c r="H1173" s="54"/>
    </row>
    <row r="1174" spans="1:8" s="55" customFormat="1" ht="37.5" hidden="1" customHeight="1" x14ac:dyDescent="0.25">
      <c r="A1174" s="354">
        <v>1</v>
      </c>
      <c r="B1174" s="131" t="e">
        <f t="shared" si="31"/>
        <v>#REF!</v>
      </c>
      <c r="C1174" s="15" t="s">
        <v>334</v>
      </c>
      <c r="D1174" s="12"/>
      <c r="E1174" s="512"/>
      <c r="F1174" s="54"/>
      <c r="G1174" s="54"/>
      <c r="H1174" s="54"/>
    </row>
    <row r="1175" spans="1:8" s="55" customFormat="1" ht="45" hidden="1" customHeight="1" x14ac:dyDescent="0.25">
      <c r="A1175" s="354">
        <v>1</v>
      </c>
      <c r="B1175" s="131" t="e">
        <f t="shared" si="31"/>
        <v>#REF!</v>
      </c>
      <c r="C1175" s="15" t="s">
        <v>335</v>
      </c>
      <c r="D1175" s="12"/>
      <c r="E1175" s="512"/>
      <c r="F1175" s="54"/>
      <c r="G1175" s="54"/>
      <c r="H1175" s="54"/>
    </row>
    <row r="1176" spans="1:8" s="55" customFormat="1" ht="30" hidden="1" customHeight="1" x14ac:dyDescent="0.25">
      <c r="A1176" s="354">
        <v>1</v>
      </c>
      <c r="B1176" s="131" t="e">
        <f t="shared" si="31"/>
        <v>#REF!</v>
      </c>
      <c r="C1176" s="15" t="s">
        <v>382</v>
      </c>
      <c r="D1176" s="12"/>
      <c r="E1176" s="56"/>
      <c r="F1176" s="54"/>
      <c r="G1176" s="54"/>
      <c r="H1176" s="54"/>
    </row>
    <row r="1177" spans="1:8" s="55" customFormat="1" ht="30" hidden="1" customHeight="1" x14ac:dyDescent="0.25">
      <c r="A1177" s="354">
        <v>1</v>
      </c>
      <c r="B1177" s="131" t="e">
        <f t="shared" si="31"/>
        <v>#REF!</v>
      </c>
      <c r="C1177" s="15" t="s">
        <v>383</v>
      </c>
      <c r="D1177" s="59"/>
      <c r="E1177" s="60">
        <v>95</v>
      </c>
      <c r="F1177" s="54"/>
      <c r="G1177" s="54"/>
      <c r="H1177" s="54"/>
    </row>
    <row r="1178" spans="1:8" s="55" customFormat="1" ht="30" hidden="1" customHeight="1" x14ac:dyDescent="0.25">
      <c r="A1178" s="354">
        <v>1</v>
      </c>
      <c r="B1178" s="131" t="e">
        <f t="shared" si="31"/>
        <v>#REF!</v>
      </c>
      <c r="C1178" s="16" t="s">
        <v>194</v>
      </c>
      <c r="D1178" s="59"/>
      <c r="E1178" s="513">
        <f>SUM(E1179:E1181)</f>
        <v>22500</v>
      </c>
      <c r="F1178" s="54"/>
      <c r="G1178" s="54"/>
      <c r="H1178" s="54"/>
    </row>
    <row r="1179" spans="1:8" s="55" customFormat="1" ht="30" hidden="1" customHeight="1" x14ac:dyDescent="0.25">
      <c r="A1179" s="354">
        <v>1</v>
      </c>
      <c r="B1179" s="131" t="e">
        <f t="shared" si="31"/>
        <v>#REF!</v>
      </c>
      <c r="C1179" s="15" t="s">
        <v>384</v>
      </c>
      <c r="D1179" s="59"/>
      <c r="E1179" s="53"/>
      <c r="F1179" s="54"/>
      <c r="G1179" s="54"/>
      <c r="H1179" s="54"/>
    </row>
    <row r="1180" spans="1:8" s="55" customFormat="1" ht="45" hidden="1" customHeight="1" x14ac:dyDescent="0.25">
      <c r="A1180" s="354">
        <v>1</v>
      </c>
      <c r="B1180" s="131" t="e">
        <f t="shared" si="31"/>
        <v>#REF!</v>
      </c>
      <c r="C1180" s="15" t="s">
        <v>385</v>
      </c>
      <c r="D1180" s="59"/>
      <c r="E1180" s="53">
        <v>14500</v>
      </c>
      <c r="F1180" s="54"/>
      <c r="G1180" s="54"/>
      <c r="H1180" s="54"/>
    </row>
    <row r="1181" spans="1:8" s="55" customFormat="1" ht="45" hidden="1" customHeight="1" x14ac:dyDescent="0.25">
      <c r="A1181" s="354">
        <v>1</v>
      </c>
      <c r="B1181" s="131" t="e">
        <f t="shared" si="31"/>
        <v>#REF!</v>
      </c>
      <c r="C1181" s="15" t="s">
        <v>386</v>
      </c>
      <c r="D1181" s="59"/>
      <c r="E1181" s="53">
        <v>8000</v>
      </c>
      <c r="F1181" s="54"/>
      <c r="G1181" s="54"/>
      <c r="H1181" s="54"/>
    </row>
    <row r="1182" spans="1:8" ht="15.75" hidden="1" customHeight="1" x14ac:dyDescent="0.25">
      <c r="A1182" s="354">
        <v>1</v>
      </c>
      <c r="B1182" s="131" t="e">
        <f t="shared" si="31"/>
        <v>#REF!</v>
      </c>
      <c r="C1182" s="14" t="s">
        <v>251</v>
      </c>
      <c r="D1182" s="13"/>
      <c r="E1182" s="53">
        <f>E1183+E1184+E1188+E1189</f>
        <v>0</v>
      </c>
      <c r="F1182" s="2"/>
      <c r="G1182" s="2"/>
      <c r="H1182" s="2"/>
    </row>
    <row r="1183" spans="1:8" s="55" customFormat="1" ht="15.75" hidden="1" customHeight="1" x14ac:dyDescent="0.25">
      <c r="A1183" s="354">
        <v>1</v>
      </c>
      <c r="B1183" s="131" t="e">
        <f t="shared" si="31"/>
        <v>#REF!</v>
      </c>
      <c r="C1183" s="15" t="s">
        <v>252</v>
      </c>
      <c r="D1183" s="277"/>
      <c r="E1183" s="53"/>
      <c r="F1183" s="54"/>
      <c r="G1183" s="54"/>
      <c r="H1183" s="54"/>
    </row>
    <row r="1184" spans="1:8" s="55" customFormat="1" ht="30" hidden="1" customHeight="1" x14ac:dyDescent="0.25">
      <c r="A1184" s="354">
        <v>1</v>
      </c>
      <c r="B1184" s="131" t="e">
        <f t="shared" si="31"/>
        <v>#REF!</v>
      </c>
      <c r="C1184" s="16" t="s">
        <v>388</v>
      </c>
      <c r="D1184" s="61"/>
      <c r="E1184" s="513"/>
      <c r="F1184" s="62"/>
      <c r="G1184" s="62"/>
      <c r="H1184" s="43"/>
    </row>
    <row r="1185" spans="1:8" s="145" customFormat="1" ht="15.75" hidden="1" customHeight="1" x14ac:dyDescent="0.25">
      <c r="A1185" s="354">
        <v>1</v>
      </c>
      <c r="B1185" s="131" t="e">
        <f t="shared" si="31"/>
        <v>#REF!</v>
      </c>
      <c r="C1185" s="15" t="s">
        <v>389</v>
      </c>
      <c r="D1185" s="13"/>
      <c r="E1185" s="17"/>
      <c r="F1185" s="10"/>
      <c r="G1185" s="10"/>
      <c r="H1185" s="10"/>
    </row>
    <row r="1186" spans="1:8" s="55" customFormat="1" ht="30" hidden="1" customHeight="1" x14ac:dyDescent="0.25">
      <c r="A1186" s="354">
        <v>1</v>
      </c>
      <c r="B1186" s="131" t="e">
        <f t="shared" si="31"/>
        <v>#REF!</v>
      </c>
      <c r="C1186" s="15" t="s">
        <v>390</v>
      </c>
      <c r="D1186" s="13"/>
      <c r="E1186" s="53"/>
      <c r="F1186" s="62"/>
      <c r="G1186" s="62"/>
      <c r="H1186" s="43"/>
    </row>
    <row r="1187" spans="1:8" s="55" customFormat="1" ht="45" hidden="1" customHeight="1" x14ac:dyDescent="0.25">
      <c r="A1187" s="354">
        <v>1</v>
      </c>
      <c r="B1187" s="131" t="e">
        <f t="shared" si="31"/>
        <v>#REF!</v>
      </c>
      <c r="C1187" s="15" t="s">
        <v>391</v>
      </c>
      <c r="D1187" s="13"/>
      <c r="E1187" s="53"/>
      <c r="F1187" s="62"/>
      <c r="G1187" s="62"/>
      <c r="H1187" s="43"/>
    </row>
    <row r="1188" spans="1:8" s="55" customFormat="1" ht="45" hidden="1" customHeight="1" x14ac:dyDescent="0.25">
      <c r="A1188" s="354">
        <v>1</v>
      </c>
      <c r="B1188" s="131" t="e">
        <f t="shared" si="31"/>
        <v>#REF!</v>
      </c>
      <c r="C1188" s="15" t="s">
        <v>392</v>
      </c>
      <c r="D1188" s="13"/>
      <c r="E1188" s="60"/>
      <c r="F1188" s="62"/>
      <c r="G1188" s="62"/>
      <c r="H1188" s="43"/>
    </row>
    <row r="1189" spans="1:8" s="55" customFormat="1" ht="45" hidden="1" customHeight="1" x14ac:dyDescent="0.25">
      <c r="A1189" s="354">
        <v>1</v>
      </c>
      <c r="B1189" s="131" t="e">
        <f t="shared" si="31"/>
        <v>#REF!</v>
      </c>
      <c r="C1189" s="18" t="s">
        <v>393</v>
      </c>
      <c r="D1189" s="13"/>
      <c r="E1189" s="60"/>
      <c r="F1189" s="62"/>
      <c r="G1189" s="62"/>
      <c r="H1189" s="43"/>
    </row>
    <row r="1190" spans="1:8" s="55" customFormat="1" ht="15.75" hidden="1" customHeight="1" x14ac:dyDescent="0.25">
      <c r="A1190" s="354">
        <v>1</v>
      </c>
      <c r="B1190" s="131" t="e">
        <f t="shared" si="31"/>
        <v>#REF!</v>
      </c>
      <c r="C1190" s="14" t="s">
        <v>253</v>
      </c>
      <c r="D1190" s="13"/>
      <c r="E1190" s="60"/>
      <c r="F1190" s="62"/>
      <c r="G1190" s="62"/>
      <c r="H1190" s="43"/>
    </row>
    <row r="1191" spans="1:8" s="55" customFormat="1" ht="15.75" hidden="1" customHeight="1" x14ac:dyDescent="0.25">
      <c r="A1191" s="354">
        <v>1</v>
      </c>
      <c r="B1191" s="131" t="e">
        <f t="shared" si="31"/>
        <v>#REF!</v>
      </c>
      <c r="C1191" s="14" t="s">
        <v>254</v>
      </c>
      <c r="D1191" s="13"/>
      <c r="E1191" s="60"/>
      <c r="F1191" s="62"/>
      <c r="G1191" s="62"/>
      <c r="H1191" s="43"/>
    </row>
    <row r="1192" spans="1:8" s="55" customFormat="1" ht="15.75" hidden="1" customHeight="1" x14ac:dyDescent="0.25">
      <c r="A1192" s="354">
        <v>1</v>
      </c>
      <c r="B1192" s="131" t="e">
        <f t="shared" si="31"/>
        <v>#REF!</v>
      </c>
      <c r="C1192" s="15" t="s">
        <v>255</v>
      </c>
      <c r="D1192" s="13"/>
      <c r="E1192" s="60"/>
      <c r="F1192" s="62"/>
      <c r="G1192" s="62"/>
      <c r="H1192" s="43"/>
    </row>
    <row r="1193" spans="1:8" s="55" customFormat="1" ht="15.75" hidden="1" customHeight="1" x14ac:dyDescent="0.25">
      <c r="A1193" s="354">
        <v>1</v>
      </c>
      <c r="B1193" s="131" t="e">
        <f t="shared" ref="B1193:B1257" si="33">B1192+1</f>
        <v>#REF!</v>
      </c>
      <c r="C1193" s="42" t="s">
        <v>261</v>
      </c>
      <c r="D1193" s="13"/>
      <c r="E1193" s="68"/>
      <c r="F1193" s="62"/>
      <c r="G1193" s="62"/>
      <c r="H1193" s="43"/>
    </row>
    <row r="1194" spans="1:8" s="55" customFormat="1" ht="29.25" hidden="1" customHeight="1" x14ac:dyDescent="0.25">
      <c r="A1194" s="354">
        <v>1</v>
      </c>
      <c r="B1194" s="131" t="e">
        <f t="shared" si="33"/>
        <v>#REF!</v>
      </c>
      <c r="C1194" s="14" t="s">
        <v>256</v>
      </c>
      <c r="D1194" s="13"/>
      <c r="E1194" s="53">
        <v>10157</v>
      </c>
      <c r="F1194" s="62"/>
      <c r="G1194" s="62"/>
      <c r="H1194" s="43"/>
    </row>
    <row r="1195" spans="1:8" s="55" customFormat="1" ht="15.75" hidden="1" customHeight="1" x14ac:dyDescent="0.25">
      <c r="A1195" s="354">
        <v>1</v>
      </c>
      <c r="B1195" s="131" t="e">
        <f t="shared" si="33"/>
        <v>#REF!</v>
      </c>
      <c r="C1195" s="19" t="s">
        <v>117</v>
      </c>
      <c r="D1195" s="13"/>
      <c r="E1195" s="53"/>
      <c r="F1195" s="62"/>
      <c r="G1195" s="62"/>
      <c r="H1195" s="43"/>
    </row>
    <row r="1196" spans="1:8" s="55" customFormat="1" ht="57.75" hidden="1" customHeight="1" x14ac:dyDescent="0.25">
      <c r="A1196" s="354">
        <v>1</v>
      </c>
      <c r="B1196" s="131" t="e">
        <f t="shared" si="33"/>
        <v>#REF!</v>
      </c>
      <c r="C1196" s="21" t="s">
        <v>259</v>
      </c>
      <c r="D1196" s="13"/>
      <c r="E1196" s="550"/>
      <c r="F1196" s="62"/>
      <c r="G1196" s="62"/>
      <c r="H1196" s="43"/>
    </row>
    <row r="1197" spans="1:8" s="55" customFormat="1" ht="15.75" hidden="1" customHeight="1" x14ac:dyDescent="0.25">
      <c r="A1197" s="354">
        <v>1</v>
      </c>
      <c r="B1197" s="131" t="e">
        <f t="shared" si="33"/>
        <v>#REF!</v>
      </c>
      <c r="C1197" s="20" t="s">
        <v>165</v>
      </c>
      <c r="D1197" s="13"/>
      <c r="E1197" s="544">
        <f>E1198+E1199</f>
        <v>1100</v>
      </c>
      <c r="F1197" s="62"/>
      <c r="G1197" s="62"/>
      <c r="H1197" s="43"/>
    </row>
    <row r="1198" spans="1:8" s="55" customFormat="1" ht="30" hidden="1" customHeight="1" x14ac:dyDescent="0.25">
      <c r="A1198" s="354">
        <v>1</v>
      </c>
      <c r="B1198" s="131" t="e">
        <f t="shared" si="33"/>
        <v>#REF!</v>
      </c>
      <c r="C1198" s="147" t="s">
        <v>205</v>
      </c>
      <c r="D1198" s="13"/>
      <c r="E1198" s="550">
        <v>600</v>
      </c>
      <c r="F1198" s="62"/>
      <c r="G1198" s="62"/>
      <c r="H1198" s="43"/>
    </row>
    <row r="1199" spans="1:8" s="55" customFormat="1" ht="30" hidden="1" customHeight="1" x14ac:dyDescent="0.25">
      <c r="A1199" s="354">
        <v>1</v>
      </c>
      <c r="B1199" s="131" t="e">
        <f t="shared" si="33"/>
        <v>#REF!</v>
      </c>
      <c r="C1199" s="147" t="s">
        <v>204</v>
      </c>
      <c r="D1199" s="13"/>
      <c r="E1199" s="550">
        <v>500</v>
      </c>
      <c r="F1199" s="62"/>
      <c r="G1199" s="62"/>
      <c r="H1199" s="43"/>
    </row>
    <row r="1200" spans="1:8" s="55" customFormat="1" ht="15.75" hidden="1" customHeight="1" x14ac:dyDescent="0.25">
      <c r="A1200" s="354">
        <v>1</v>
      </c>
      <c r="B1200" s="131" t="e">
        <f t="shared" si="33"/>
        <v>#REF!</v>
      </c>
      <c r="C1200" s="21" t="s">
        <v>195</v>
      </c>
      <c r="D1200" s="13"/>
      <c r="E1200" s="508">
        <f>E1162+E1182</f>
        <v>17200</v>
      </c>
      <c r="F1200" s="62"/>
      <c r="G1200" s="62"/>
      <c r="H1200" s="43"/>
    </row>
    <row r="1201" spans="1:8" s="55" customFormat="1" ht="29.25" hidden="1" customHeight="1" x14ac:dyDescent="0.25">
      <c r="A1201" s="354">
        <v>1</v>
      </c>
      <c r="B1201" s="131" t="e">
        <f t="shared" si="33"/>
        <v>#REF!</v>
      </c>
      <c r="C1201" s="21" t="s">
        <v>196</v>
      </c>
      <c r="D1201" s="13"/>
      <c r="E1201" s="508">
        <f>E1172</f>
        <v>22595</v>
      </c>
      <c r="F1201" s="62"/>
      <c r="G1201" s="62"/>
      <c r="H1201" s="43"/>
    </row>
    <row r="1202" spans="1:8" s="55" customFormat="1" ht="15.75" hidden="1" customHeight="1" x14ac:dyDescent="0.25">
      <c r="A1202" s="354">
        <v>1</v>
      </c>
      <c r="B1202" s="131" t="e">
        <f t="shared" si="33"/>
        <v>#REF!</v>
      </c>
      <c r="C1202" s="21" t="s">
        <v>197</v>
      </c>
      <c r="D1202" s="13"/>
      <c r="E1202" s="508">
        <f>E1190+E1168</f>
        <v>29273</v>
      </c>
      <c r="F1202" s="62"/>
      <c r="G1202" s="62"/>
      <c r="H1202" s="43"/>
    </row>
    <row r="1203" spans="1:8" s="55" customFormat="1" ht="29.25" hidden="1" customHeight="1" x14ac:dyDescent="0.25">
      <c r="A1203" s="354">
        <v>1</v>
      </c>
      <c r="B1203" s="131" t="e">
        <f t="shared" si="33"/>
        <v>#REF!</v>
      </c>
      <c r="C1203" s="21" t="s">
        <v>198</v>
      </c>
      <c r="D1203" s="59"/>
      <c r="E1203" s="513">
        <f>E1194</f>
        <v>10157</v>
      </c>
      <c r="F1203" s="62"/>
      <c r="G1203" s="62"/>
      <c r="H1203" s="43"/>
    </row>
    <row r="1204" spans="1:8" s="55" customFormat="1" ht="15.75" hidden="1" customHeight="1" x14ac:dyDescent="0.25">
      <c r="A1204" s="354">
        <v>1</v>
      </c>
      <c r="B1204" s="131" t="e">
        <f t="shared" si="33"/>
        <v>#REF!</v>
      </c>
      <c r="C1204" s="22" t="s">
        <v>112</v>
      </c>
      <c r="D1204" s="13"/>
      <c r="E1204" s="508">
        <f>E1200+E1201+E1203+E1202*2.6</f>
        <v>126061.8</v>
      </c>
      <c r="F1204" s="62"/>
      <c r="G1204" s="62"/>
      <c r="H1204" s="43"/>
    </row>
    <row r="1205" spans="1:8" ht="15.75" hidden="1" customHeight="1" x14ac:dyDescent="0.25">
      <c r="A1205" s="354">
        <v>1</v>
      </c>
      <c r="B1205" s="131" t="e">
        <f t="shared" si="33"/>
        <v>#REF!</v>
      </c>
      <c r="C1205" s="44" t="s">
        <v>7</v>
      </c>
      <c r="D1205" s="380"/>
      <c r="E1205" s="469"/>
      <c r="F1205" s="2"/>
      <c r="G1205" s="2"/>
      <c r="H1205" s="2"/>
    </row>
    <row r="1206" spans="1:8" ht="15.75" hidden="1" customHeight="1" x14ac:dyDescent="0.25">
      <c r="A1206" s="354">
        <v>1</v>
      </c>
      <c r="B1206" s="131" t="e">
        <f t="shared" si="33"/>
        <v>#REF!</v>
      </c>
      <c r="C1206" s="293" t="s">
        <v>71</v>
      </c>
      <c r="D1206" s="380"/>
      <c r="E1206" s="469"/>
      <c r="F1206" s="2"/>
      <c r="G1206" s="2"/>
      <c r="H1206" s="2"/>
    </row>
    <row r="1207" spans="1:8" ht="15.75" hidden="1" customHeight="1" x14ac:dyDescent="0.25">
      <c r="A1207" s="354">
        <v>1</v>
      </c>
      <c r="B1207" s="131" t="e">
        <f t="shared" si="33"/>
        <v>#REF!</v>
      </c>
      <c r="C1207" s="539" t="s">
        <v>55</v>
      </c>
      <c r="D1207" s="52">
        <v>240</v>
      </c>
      <c r="E1207" s="53">
        <v>10</v>
      </c>
      <c r="F1207" s="47">
        <v>10</v>
      </c>
      <c r="G1207" s="2">
        <f>ROUND(H1207/D1207,0)</f>
        <v>0</v>
      </c>
      <c r="H1207" s="2">
        <f>ROUND(E1207*F1207,0)</f>
        <v>100</v>
      </c>
    </row>
    <row r="1208" spans="1:8" ht="15.75" hidden="1" customHeight="1" x14ac:dyDescent="0.25">
      <c r="A1208" s="354">
        <v>1</v>
      </c>
      <c r="B1208" s="131" t="e">
        <f t="shared" si="33"/>
        <v>#REF!</v>
      </c>
      <c r="C1208" s="539" t="s">
        <v>43</v>
      </c>
      <c r="D1208" s="52">
        <v>240</v>
      </c>
      <c r="E1208" s="53">
        <v>24</v>
      </c>
      <c r="F1208" s="47">
        <v>9</v>
      </c>
      <c r="G1208" s="2">
        <f>ROUND(H1208/D1208,0)</f>
        <v>1</v>
      </c>
      <c r="H1208" s="2">
        <f>ROUND(E1208*F1208,0)</f>
        <v>216</v>
      </c>
    </row>
    <row r="1209" spans="1:8" ht="15.75" hidden="1" customHeight="1" x14ac:dyDescent="0.25">
      <c r="A1209" s="354">
        <v>1</v>
      </c>
      <c r="B1209" s="131" t="e">
        <f t="shared" si="33"/>
        <v>#REF!</v>
      </c>
      <c r="C1209" s="539" t="s">
        <v>24</v>
      </c>
      <c r="D1209" s="52">
        <v>240</v>
      </c>
      <c r="E1209" s="53">
        <v>428</v>
      </c>
      <c r="F1209" s="47">
        <v>8</v>
      </c>
      <c r="G1209" s="2">
        <f>ROUND(H1209/D1209,0)</f>
        <v>14</v>
      </c>
      <c r="H1209" s="2">
        <f>ROUND(E1209*F1209,0)</f>
        <v>3424</v>
      </c>
    </row>
    <row r="1210" spans="1:8" ht="15.75" hidden="1" customHeight="1" x14ac:dyDescent="0.25">
      <c r="A1210" s="354">
        <v>1</v>
      </c>
      <c r="B1210" s="131" t="e">
        <f t="shared" si="33"/>
        <v>#REF!</v>
      </c>
      <c r="C1210" s="539" t="s">
        <v>69</v>
      </c>
      <c r="D1210" s="52">
        <v>240</v>
      </c>
      <c r="E1210" s="53">
        <v>412</v>
      </c>
      <c r="F1210" s="47">
        <v>8</v>
      </c>
      <c r="G1210" s="2">
        <f>ROUND(H1210/D1210,0)</f>
        <v>14</v>
      </c>
      <c r="H1210" s="2">
        <f>ROUND(E1210*F1210,0)</f>
        <v>3296</v>
      </c>
    </row>
    <row r="1211" spans="1:8" ht="15.75" hidden="1" customHeight="1" x14ac:dyDescent="0.25">
      <c r="A1211" s="354">
        <v>1</v>
      </c>
      <c r="B1211" s="131" t="e">
        <f t="shared" si="33"/>
        <v>#REF!</v>
      </c>
      <c r="C1211" s="561" t="s">
        <v>151</v>
      </c>
      <c r="D1211" s="52">
        <v>240</v>
      </c>
      <c r="E1211" s="53">
        <v>30</v>
      </c>
      <c r="F1211" s="47">
        <v>8</v>
      </c>
      <c r="G1211" s="2">
        <f>ROUND(H1211/D1211,0)</f>
        <v>1</v>
      </c>
      <c r="H1211" s="2">
        <f>ROUND(E1211*F1211,0)</f>
        <v>240</v>
      </c>
    </row>
    <row r="1212" spans="1:8" ht="15.75" hidden="1" customHeight="1" x14ac:dyDescent="0.25">
      <c r="A1212" s="354">
        <v>1</v>
      </c>
      <c r="B1212" s="131" t="e">
        <f t="shared" si="33"/>
        <v>#REF!</v>
      </c>
      <c r="C1212" s="547" t="s">
        <v>94</v>
      </c>
      <c r="D1212" s="52"/>
      <c r="E1212" s="506">
        <f>SUM(E1207:E1211)</f>
        <v>904</v>
      </c>
      <c r="F1212" s="525">
        <f>H1212/E1212</f>
        <v>8.0486725663716818</v>
      </c>
      <c r="G1212" s="31">
        <f>SUM(G1207:G1211)</f>
        <v>30</v>
      </c>
      <c r="H1212" s="31">
        <f>SUM(H1207:H1211)</f>
        <v>7276</v>
      </c>
    </row>
    <row r="1213" spans="1:8" ht="15.75" hidden="1" customHeight="1" x14ac:dyDescent="0.25">
      <c r="A1213" s="354">
        <v>1</v>
      </c>
      <c r="B1213" s="131" t="e">
        <f t="shared" si="33"/>
        <v>#REF!</v>
      </c>
      <c r="C1213" s="548" t="s">
        <v>88</v>
      </c>
      <c r="D1213" s="52"/>
      <c r="E1213" s="518">
        <f>E1212</f>
        <v>904</v>
      </c>
      <c r="F1213" s="75">
        <f>F1212</f>
        <v>8.0486725663716818</v>
      </c>
      <c r="G1213" s="289">
        <f>G1212</f>
        <v>30</v>
      </c>
      <c r="H1213" s="289">
        <f>H1212</f>
        <v>7276</v>
      </c>
    </row>
    <row r="1214" spans="1:8" ht="16.5" hidden="1" customHeight="1" thickBot="1" x14ac:dyDescent="0.3">
      <c r="A1214" s="354">
        <v>1</v>
      </c>
      <c r="B1214" s="131" t="e">
        <f t="shared" si="33"/>
        <v>#REF!</v>
      </c>
      <c r="C1214" s="495" t="s">
        <v>213</v>
      </c>
      <c r="D1214" s="381"/>
      <c r="E1214" s="573"/>
      <c r="F1214" s="370"/>
      <c r="G1214" s="370"/>
      <c r="H1214" s="370"/>
    </row>
    <row r="1215" spans="1:8" ht="18" customHeight="1" x14ac:dyDescent="0.25">
      <c r="A1215" s="354">
        <v>1</v>
      </c>
      <c r="B1215" s="131" t="e">
        <f t="shared" si="33"/>
        <v>#REF!</v>
      </c>
      <c r="C1215" s="797" t="s">
        <v>370</v>
      </c>
      <c r="D1215" s="603"/>
      <c r="E1215" s="493"/>
      <c r="F1215" s="494"/>
      <c r="G1215" s="494"/>
      <c r="H1215" s="494"/>
    </row>
    <row r="1216" spans="1:8" ht="15.75" customHeight="1" x14ac:dyDescent="0.25">
      <c r="A1216" s="354">
        <v>1</v>
      </c>
      <c r="B1216" s="131" t="e">
        <f t="shared" si="33"/>
        <v>#REF!</v>
      </c>
      <c r="C1216" s="798"/>
      <c r="D1216" s="372"/>
      <c r="E1216" s="53"/>
      <c r="F1216" s="683"/>
      <c r="G1216" s="2"/>
      <c r="H1216" s="2"/>
    </row>
    <row r="1217" spans="1:8" ht="15.75" customHeight="1" x14ac:dyDescent="0.25">
      <c r="A1217" s="354">
        <v>1</v>
      </c>
      <c r="B1217" s="131" t="e">
        <f t="shared" si="33"/>
        <v>#REF!</v>
      </c>
      <c r="C1217" s="574" t="s">
        <v>32</v>
      </c>
      <c r="D1217" s="382">
        <v>340</v>
      </c>
      <c r="E1217" s="53">
        <v>215</v>
      </c>
      <c r="F1217" s="575">
        <v>11</v>
      </c>
      <c r="G1217" s="2">
        <f t="shared" ref="G1217:G1231" si="34">ROUND(H1217/D1217,0)</f>
        <v>7</v>
      </c>
      <c r="H1217" s="2">
        <f t="shared" ref="H1217:H1231" si="35">ROUND(E1217*F1217,0)</f>
        <v>2365</v>
      </c>
    </row>
    <row r="1218" spans="1:8" ht="15.75" customHeight="1" x14ac:dyDescent="0.25">
      <c r="A1218" s="354">
        <v>1</v>
      </c>
      <c r="B1218" s="131" t="e">
        <f t="shared" si="33"/>
        <v>#REF!</v>
      </c>
      <c r="C1218" s="574" t="s">
        <v>57</v>
      </c>
      <c r="D1218" s="382">
        <v>340</v>
      </c>
      <c r="E1218" s="53">
        <v>200</v>
      </c>
      <c r="F1218" s="575">
        <v>9</v>
      </c>
      <c r="G1218" s="2">
        <v>5</v>
      </c>
      <c r="H1218" s="2">
        <f t="shared" si="35"/>
        <v>1800</v>
      </c>
    </row>
    <row r="1219" spans="1:8" ht="15.75" customHeight="1" x14ac:dyDescent="0.25">
      <c r="A1219" s="354">
        <v>1</v>
      </c>
      <c r="B1219" s="131" t="e">
        <f t="shared" si="33"/>
        <v>#REF!</v>
      </c>
      <c r="C1219" s="574" t="s">
        <v>21</v>
      </c>
      <c r="D1219" s="382">
        <v>340</v>
      </c>
      <c r="E1219" s="53">
        <v>99</v>
      </c>
      <c r="F1219" s="575">
        <v>6.3</v>
      </c>
      <c r="G1219" s="2">
        <f t="shared" si="34"/>
        <v>2</v>
      </c>
      <c r="H1219" s="2">
        <f t="shared" si="35"/>
        <v>624</v>
      </c>
    </row>
    <row r="1220" spans="1:8" ht="15.75" customHeight="1" x14ac:dyDescent="0.25">
      <c r="A1220" s="354">
        <v>1</v>
      </c>
      <c r="B1220" s="131" t="e">
        <f t="shared" si="33"/>
        <v>#REF!</v>
      </c>
      <c r="C1220" s="574" t="s">
        <v>20</v>
      </c>
      <c r="D1220" s="382">
        <v>340</v>
      </c>
      <c r="E1220" s="53">
        <v>911</v>
      </c>
      <c r="F1220" s="575">
        <v>10</v>
      </c>
      <c r="G1220" s="2">
        <f t="shared" si="34"/>
        <v>27</v>
      </c>
      <c r="H1220" s="2">
        <f t="shared" si="35"/>
        <v>9110</v>
      </c>
    </row>
    <row r="1221" spans="1:8" ht="15.75" customHeight="1" x14ac:dyDescent="0.25">
      <c r="A1221" s="354">
        <v>1</v>
      </c>
      <c r="B1221" s="131" t="e">
        <f t="shared" si="33"/>
        <v>#REF!</v>
      </c>
      <c r="C1221" s="574" t="s">
        <v>55</v>
      </c>
      <c r="D1221" s="382">
        <v>340</v>
      </c>
      <c r="E1221" s="53">
        <v>767</v>
      </c>
      <c r="F1221" s="575">
        <v>8.5</v>
      </c>
      <c r="G1221" s="2">
        <f t="shared" si="34"/>
        <v>19</v>
      </c>
      <c r="H1221" s="2">
        <f t="shared" si="35"/>
        <v>6520</v>
      </c>
    </row>
    <row r="1222" spans="1:8" ht="15.75" customHeight="1" x14ac:dyDescent="0.25">
      <c r="A1222" s="354">
        <v>1</v>
      </c>
      <c r="B1222" s="131" t="e">
        <f t="shared" si="33"/>
        <v>#REF!</v>
      </c>
      <c r="C1222" s="576" t="s">
        <v>61</v>
      </c>
      <c r="D1222" s="382">
        <v>340</v>
      </c>
      <c r="E1222" s="53">
        <v>210</v>
      </c>
      <c r="F1222" s="575">
        <v>11.5</v>
      </c>
      <c r="G1222" s="2">
        <f t="shared" si="34"/>
        <v>7</v>
      </c>
      <c r="H1222" s="2">
        <f t="shared" si="35"/>
        <v>2415</v>
      </c>
    </row>
    <row r="1223" spans="1:8" ht="15.75" customHeight="1" x14ac:dyDescent="0.25">
      <c r="A1223" s="354">
        <v>1</v>
      </c>
      <c r="B1223" s="131" t="e">
        <f t="shared" si="33"/>
        <v>#REF!</v>
      </c>
      <c r="C1223" s="577" t="s">
        <v>60</v>
      </c>
      <c r="D1223" s="382">
        <v>340</v>
      </c>
      <c r="E1223" s="53">
        <v>210</v>
      </c>
      <c r="F1223" s="575">
        <v>10</v>
      </c>
      <c r="G1223" s="2">
        <f t="shared" si="34"/>
        <v>6</v>
      </c>
      <c r="H1223" s="2">
        <f t="shared" si="35"/>
        <v>2100</v>
      </c>
    </row>
    <row r="1224" spans="1:8" ht="15.75" customHeight="1" x14ac:dyDescent="0.25">
      <c r="A1224" s="354">
        <v>1</v>
      </c>
      <c r="B1224" s="131" t="e">
        <f t="shared" si="33"/>
        <v>#REF!</v>
      </c>
      <c r="C1224" s="577" t="s">
        <v>12</v>
      </c>
      <c r="D1224" s="382">
        <v>340</v>
      </c>
      <c r="E1224" s="53">
        <v>91</v>
      </c>
      <c r="F1224" s="575">
        <v>9</v>
      </c>
      <c r="G1224" s="2">
        <f t="shared" si="34"/>
        <v>2</v>
      </c>
      <c r="H1224" s="2">
        <f t="shared" si="35"/>
        <v>819</v>
      </c>
    </row>
    <row r="1225" spans="1:8" ht="15.75" customHeight="1" x14ac:dyDescent="0.25">
      <c r="A1225" s="354">
        <v>1</v>
      </c>
      <c r="B1225" s="131" t="e">
        <f t="shared" si="33"/>
        <v>#REF!</v>
      </c>
      <c r="C1225" s="574" t="s">
        <v>13</v>
      </c>
      <c r="D1225" s="382">
        <v>340</v>
      </c>
      <c r="E1225" s="53">
        <v>305</v>
      </c>
      <c r="F1225" s="575">
        <v>10.199999999999999</v>
      </c>
      <c r="G1225" s="2">
        <f t="shared" si="34"/>
        <v>9</v>
      </c>
      <c r="H1225" s="2">
        <f t="shared" si="35"/>
        <v>3111</v>
      </c>
    </row>
    <row r="1226" spans="1:8" ht="15.75" customHeight="1" x14ac:dyDescent="0.25">
      <c r="A1226" s="354">
        <v>1</v>
      </c>
      <c r="B1226" s="131" t="e">
        <f t="shared" si="33"/>
        <v>#REF!</v>
      </c>
      <c r="C1226" s="577" t="s">
        <v>29</v>
      </c>
      <c r="D1226" s="382">
        <v>340</v>
      </c>
      <c r="E1226" s="53">
        <v>165</v>
      </c>
      <c r="F1226" s="575">
        <v>9</v>
      </c>
      <c r="G1226" s="2">
        <f t="shared" si="34"/>
        <v>4</v>
      </c>
      <c r="H1226" s="2">
        <f t="shared" si="35"/>
        <v>1485</v>
      </c>
    </row>
    <row r="1227" spans="1:8" ht="15.75" customHeight="1" x14ac:dyDescent="0.25">
      <c r="A1227" s="354">
        <v>1</v>
      </c>
      <c r="B1227" s="131" t="e">
        <f t="shared" si="33"/>
        <v>#REF!</v>
      </c>
      <c r="C1227" s="574" t="s">
        <v>19</v>
      </c>
      <c r="D1227" s="382">
        <v>340</v>
      </c>
      <c r="E1227" s="53">
        <v>284</v>
      </c>
      <c r="F1227" s="575">
        <v>9</v>
      </c>
      <c r="G1227" s="2">
        <f t="shared" si="34"/>
        <v>8</v>
      </c>
      <c r="H1227" s="2">
        <f t="shared" si="35"/>
        <v>2556</v>
      </c>
    </row>
    <row r="1228" spans="1:8" ht="15.75" customHeight="1" x14ac:dyDescent="0.25">
      <c r="A1228" s="354">
        <v>1</v>
      </c>
      <c r="B1228" s="131" t="e">
        <f t="shared" si="33"/>
        <v>#REF!</v>
      </c>
      <c r="C1228" s="574" t="s">
        <v>56</v>
      </c>
      <c r="D1228" s="382">
        <v>340</v>
      </c>
      <c r="E1228" s="53">
        <v>96</v>
      </c>
      <c r="F1228" s="575">
        <v>9.5</v>
      </c>
      <c r="G1228" s="2">
        <f t="shared" si="34"/>
        <v>3</v>
      </c>
      <c r="H1228" s="2">
        <f t="shared" si="35"/>
        <v>912</v>
      </c>
    </row>
    <row r="1229" spans="1:8" ht="15.75" customHeight="1" x14ac:dyDescent="0.25">
      <c r="A1229" s="354">
        <v>1</v>
      </c>
      <c r="B1229" s="131" t="e">
        <f t="shared" si="33"/>
        <v>#REF!</v>
      </c>
      <c r="C1229" s="574" t="s">
        <v>11</v>
      </c>
      <c r="D1229" s="382">
        <v>340</v>
      </c>
      <c r="E1229" s="53">
        <v>348</v>
      </c>
      <c r="F1229" s="575">
        <v>8.1999999999999993</v>
      </c>
      <c r="G1229" s="2">
        <f t="shared" si="34"/>
        <v>8</v>
      </c>
      <c r="H1229" s="2">
        <f t="shared" si="35"/>
        <v>2854</v>
      </c>
    </row>
    <row r="1230" spans="1:8" ht="15.75" customHeight="1" x14ac:dyDescent="0.25">
      <c r="A1230" s="354">
        <v>1</v>
      </c>
      <c r="B1230" s="131" t="e">
        <f t="shared" si="33"/>
        <v>#REF!</v>
      </c>
      <c r="C1230" s="574" t="s">
        <v>69</v>
      </c>
      <c r="D1230" s="382">
        <v>340</v>
      </c>
      <c r="E1230" s="53">
        <v>859</v>
      </c>
      <c r="F1230" s="575">
        <v>10</v>
      </c>
      <c r="G1230" s="2">
        <f t="shared" si="34"/>
        <v>25</v>
      </c>
      <c r="H1230" s="2">
        <f t="shared" si="35"/>
        <v>8590</v>
      </c>
    </row>
    <row r="1231" spans="1:8" ht="15.75" customHeight="1" x14ac:dyDescent="0.25">
      <c r="A1231" s="354">
        <v>1</v>
      </c>
      <c r="B1231" s="131" t="e">
        <f t="shared" si="33"/>
        <v>#REF!</v>
      </c>
      <c r="C1231" s="574" t="s">
        <v>33</v>
      </c>
      <c r="D1231" s="382">
        <v>340</v>
      </c>
      <c r="E1231" s="53">
        <v>165</v>
      </c>
      <c r="F1231" s="578">
        <v>9</v>
      </c>
      <c r="G1231" s="2">
        <f t="shared" si="34"/>
        <v>4</v>
      </c>
      <c r="H1231" s="2">
        <f t="shared" si="35"/>
        <v>1485</v>
      </c>
    </row>
    <row r="1232" spans="1:8" s="51" customFormat="1" ht="15.75" customHeight="1" x14ac:dyDescent="0.25">
      <c r="A1232" s="354">
        <v>1</v>
      </c>
      <c r="B1232" s="131" t="e">
        <f t="shared" si="33"/>
        <v>#REF!</v>
      </c>
      <c r="C1232" s="579" t="s">
        <v>5</v>
      </c>
      <c r="D1232" s="580"/>
      <c r="E1232" s="508">
        <f>4373+E1233</f>
        <v>4925</v>
      </c>
      <c r="F1232" s="158">
        <f>H1232/E1232</f>
        <v>9.491573604060914</v>
      </c>
      <c r="G1232" s="29">
        <f>SUM(G1217:G1231)</f>
        <v>136</v>
      </c>
      <c r="H1232" s="29">
        <f>SUM(H1217:H1231)</f>
        <v>46746</v>
      </c>
    </row>
    <row r="1233" spans="1:8" s="51" customFormat="1" ht="15.75" customHeight="1" x14ac:dyDescent="0.25">
      <c r="A1233" s="354">
        <v>1</v>
      </c>
      <c r="B1233" s="131" t="e">
        <f t="shared" si="33"/>
        <v>#REF!</v>
      </c>
      <c r="C1233" s="143" t="s">
        <v>207</v>
      </c>
      <c r="D1233" s="580"/>
      <c r="E1233" s="508">
        <v>552</v>
      </c>
      <c r="F1233" s="158"/>
      <c r="G1233" s="29"/>
      <c r="H1233" s="29"/>
    </row>
    <row r="1234" spans="1:8" s="55" customFormat="1" ht="46.5" customHeight="1" x14ac:dyDescent="0.25">
      <c r="A1234" s="354">
        <v>1</v>
      </c>
      <c r="B1234" s="131" t="e">
        <f t="shared" si="33"/>
        <v>#REF!</v>
      </c>
      <c r="C1234" s="128" t="s">
        <v>250</v>
      </c>
      <c r="D1234" s="12"/>
      <c r="E1234" s="512"/>
      <c r="F1234" s="54"/>
      <c r="G1234" s="54"/>
      <c r="H1234" s="54"/>
    </row>
    <row r="1235" spans="1:8" s="55" customFormat="1" ht="15.75" customHeight="1" x14ac:dyDescent="0.25">
      <c r="A1235" s="354">
        <v>1</v>
      </c>
      <c r="B1235" s="131" t="e">
        <f t="shared" si="33"/>
        <v>#REF!</v>
      </c>
      <c r="C1235" s="14" t="s">
        <v>192</v>
      </c>
      <c r="D1235" s="12"/>
      <c r="E1235" s="512">
        <f>E1237+E1238+E1239+E1240</f>
        <v>52000</v>
      </c>
      <c r="F1235" s="54"/>
      <c r="G1235" s="54"/>
      <c r="H1235" s="54"/>
    </row>
    <row r="1236" spans="1:8" s="55" customFormat="1" ht="15.75" customHeight="1" x14ac:dyDescent="0.25">
      <c r="A1236" s="354">
        <v>1</v>
      </c>
      <c r="B1236" s="131" t="e">
        <f t="shared" si="33"/>
        <v>#REF!</v>
      </c>
      <c r="C1236" s="18" t="s">
        <v>116</v>
      </c>
      <c r="D1236" s="12"/>
      <c r="E1236" s="512"/>
      <c r="F1236" s="54"/>
      <c r="G1236" s="54"/>
      <c r="H1236" s="54"/>
    </row>
    <row r="1237" spans="1:8" s="55" customFormat="1" ht="30" customHeight="1" x14ac:dyDescent="0.25">
      <c r="A1237" s="354">
        <v>1</v>
      </c>
      <c r="B1237" s="131" t="e">
        <f t="shared" si="33"/>
        <v>#REF!</v>
      </c>
      <c r="C1237" s="15" t="s">
        <v>397</v>
      </c>
      <c r="D1237" s="12"/>
      <c r="E1237" s="56">
        <v>30000</v>
      </c>
      <c r="F1237" s="54"/>
      <c r="G1237" s="54"/>
      <c r="H1237" s="54"/>
    </row>
    <row r="1238" spans="1:8" s="55" customFormat="1" ht="48" customHeight="1" x14ac:dyDescent="0.25">
      <c r="A1238" s="354">
        <v>1</v>
      </c>
      <c r="B1238" s="131" t="e">
        <f t="shared" si="33"/>
        <v>#REF!</v>
      </c>
      <c r="C1238" s="15" t="s">
        <v>398</v>
      </c>
      <c r="D1238" s="12"/>
      <c r="E1238" s="56"/>
      <c r="F1238" s="54"/>
      <c r="G1238" s="54"/>
      <c r="H1238" s="54"/>
    </row>
    <row r="1239" spans="1:8" s="55" customFormat="1" ht="45" customHeight="1" x14ac:dyDescent="0.25">
      <c r="A1239" s="354">
        <v>1</v>
      </c>
      <c r="B1239" s="131" t="e">
        <f t="shared" si="33"/>
        <v>#REF!</v>
      </c>
      <c r="C1239" s="15" t="s">
        <v>399</v>
      </c>
      <c r="D1239" s="12"/>
      <c r="E1239" s="56">
        <v>15000</v>
      </c>
      <c r="F1239" s="54"/>
      <c r="G1239" s="54"/>
      <c r="H1239" s="54"/>
    </row>
    <row r="1240" spans="1:8" s="55" customFormat="1" ht="75" customHeight="1" x14ac:dyDescent="0.25">
      <c r="A1240" s="354">
        <v>1</v>
      </c>
      <c r="B1240" s="131" t="e">
        <f t="shared" si="33"/>
        <v>#REF!</v>
      </c>
      <c r="C1240" s="15" t="s">
        <v>400</v>
      </c>
      <c r="D1240" s="12"/>
      <c r="E1240" s="56">
        <v>7000</v>
      </c>
      <c r="F1240" s="54"/>
      <c r="G1240" s="54"/>
      <c r="H1240" s="54"/>
    </row>
    <row r="1241" spans="1:8" s="55" customFormat="1" ht="15.75" customHeight="1" x14ac:dyDescent="0.25">
      <c r="A1241" s="354">
        <v>1</v>
      </c>
      <c r="B1241" s="131" t="e">
        <f t="shared" si="33"/>
        <v>#REF!</v>
      </c>
      <c r="C1241" s="57" t="s">
        <v>90</v>
      </c>
      <c r="D1241" s="12"/>
      <c r="E1241" s="512">
        <f>E1242+E1243+E1244</f>
        <v>32065</v>
      </c>
      <c r="F1241" s="54"/>
      <c r="G1241" s="54"/>
      <c r="H1241" s="54"/>
    </row>
    <row r="1242" spans="1:8" s="55" customFormat="1" ht="15.75" customHeight="1" x14ac:dyDescent="0.25">
      <c r="A1242" s="354">
        <v>1</v>
      </c>
      <c r="B1242" s="131" t="e">
        <f t="shared" si="33"/>
        <v>#REF!</v>
      </c>
      <c r="C1242" s="15" t="s">
        <v>145</v>
      </c>
      <c r="D1242" s="12"/>
      <c r="E1242" s="56">
        <v>29934</v>
      </c>
      <c r="F1242" s="54"/>
      <c r="G1242" s="54"/>
      <c r="H1242" s="54"/>
    </row>
    <row r="1243" spans="1:8" s="55" customFormat="1" ht="45" x14ac:dyDescent="0.25">
      <c r="A1243" s="354">
        <v>1</v>
      </c>
      <c r="B1243" s="131" t="e">
        <f t="shared" si="33"/>
        <v>#REF!</v>
      </c>
      <c r="C1243" s="15" t="s">
        <v>414</v>
      </c>
      <c r="D1243" s="12"/>
      <c r="E1243" s="56">
        <v>1065</v>
      </c>
      <c r="F1243" s="54"/>
      <c r="G1243" s="54"/>
      <c r="H1243" s="54"/>
    </row>
    <row r="1244" spans="1:8" s="55" customFormat="1" ht="60" x14ac:dyDescent="0.25">
      <c r="A1244" s="354"/>
      <c r="B1244" s="131"/>
      <c r="C1244" s="15" t="s">
        <v>421</v>
      </c>
      <c r="D1244" s="12"/>
      <c r="E1244" s="56">
        <v>1066</v>
      </c>
      <c r="F1244" s="54"/>
      <c r="G1244" s="54"/>
      <c r="H1244" s="54"/>
    </row>
    <row r="1245" spans="1:8" s="55" customFormat="1" ht="15.75" customHeight="1" x14ac:dyDescent="0.25">
      <c r="A1245" s="354">
        <v>1</v>
      </c>
      <c r="B1245" s="131" t="e">
        <f>B1243+1</f>
        <v>#REF!</v>
      </c>
      <c r="C1245" s="33" t="s">
        <v>98</v>
      </c>
      <c r="D1245" s="12"/>
      <c r="E1245" s="56"/>
      <c r="F1245" s="54"/>
      <c r="G1245" s="54"/>
      <c r="H1245" s="54"/>
    </row>
    <row r="1246" spans="1:8" s="55" customFormat="1" ht="45" customHeight="1" x14ac:dyDescent="0.25">
      <c r="A1246" s="354">
        <v>1</v>
      </c>
      <c r="B1246" s="131" t="e">
        <f t="shared" si="33"/>
        <v>#REF!</v>
      </c>
      <c r="C1246" s="15" t="s">
        <v>420</v>
      </c>
      <c r="D1246" s="12"/>
      <c r="E1246" s="56">
        <v>5330</v>
      </c>
      <c r="F1246" s="54"/>
      <c r="G1246" s="54"/>
      <c r="H1246" s="54"/>
    </row>
    <row r="1247" spans="1:8" s="55" customFormat="1" ht="47.25" customHeight="1" x14ac:dyDescent="0.25">
      <c r="A1247" s="354">
        <v>1</v>
      </c>
      <c r="B1247" s="131" t="e">
        <f t="shared" si="33"/>
        <v>#REF!</v>
      </c>
      <c r="C1247" s="58" t="s">
        <v>333</v>
      </c>
      <c r="D1247" s="12"/>
      <c r="E1247" s="512">
        <f>E1248+E1255</f>
        <v>19080</v>
      </c>
      <c r="F1247" s="54"/>
      <c r="G1247" s="54"/>
      <c r="H1247" s="54"/>
    </row>
    <row r="1248" spans="1:8" s="55" customFormat="1" ht="18.75" customHeight="1" x14ac:dyDescent="0.25">
      <c r="A1248" s="354">
        <v>1</v>
      </c>
      <c r="B1248" s="131" t="e">
        <f t="shared" si="33"/>
        <v>#REF!</v>
      </c>
      <c r="C1248" s="16" t="s">
        <v>193</v>
      </c>
      <c r="D1248" s="12"/>
      <c r="E1248" s="512">
        <f>SUM(E1249:E1254)-E1252</f>
        <v>11823</v>
      </c>
      <c r="F1248" s="54"/>
      <c r="G1248" s="54"/>
      <c r="H1248" s="54"/>
    </row>
    <row r="1249" spans="1:8" s="55" customFormat="1" ht="14.25" customHeight="1" x14ac:dyDescent="0.25">
      <c r="A1249" s="354">
        <v>1</v>
      </c>
      <c r="B1249" s="131" t="e">
        <f t="shared" si="33"/>
        <v>#REF!</v>
      </c>
      <c r="C1249" s="15" t="s">
        <v>334</v>
      </c>
      <c r="D1249" s="12"/>
      <c r="E1249" s="56">
        <v>10484</v>
      </c>
      <c r="F1249" s="54"/>
      <c r="G1249" s="54"/>
      <c r="H1249" s="54"/>
    </row>
    <row r="1250" spans="1:8" s="55" customFormat="1" ht="45" customHeight="1" x14ac:dyDescent="0.25">
      <c r="A1250" s="354">
        <v>1</v>
      </c>
      <c r="B1250" s="131" t="e">
        <f t="shared" si="33"/>
        <v>#REF!</v>
      </c>
      <c r="C1250" s="15" t="s">
        <v>335</v>
      </c>
      <c r="D1250" s="59"/>
      <c r="E1250" s="60"/>
      <c r="F1250" s="54"/>
      <c r="G1250" s="54"/>
      <c r="H1250" s="54"/>
    </row>
    <row r="1251" spans="1:8" s="55" customFormat="1" ht="30" customHeight="1" x14ac:dyDescent="0.25">
      <c r="A1251" s="354">
        <v>1</v>
      </c>
      <c r="B1251" s="131" t="e">
        <f t="shared" si="33"/>
        <v>#REF!</v>
      </c>
      <c r="C1251" s="15" t="s">
        <v>380</v>
      </c>
      <c r="D1251" s="59"/>
      <c r="E1251" s="68">
        <v>1304</v>
      </c>
      <c r="F1251" s="54"/>
      <c r="G1251" s="54"/>
      <c r="H1251" s="54"/>
    </row>
    <row r="1252" spans="1:8" s="55" customFormat="1" ht="30" customHeight="1" x14ac:dyDescent="0.25">
      <c r="A1252" s="354">
        <v>1</v>
      </c>
      <c r="B1252" s="131" t="e">
        <f t="shared" si="33"/>
        <v>#REF!</v>
      </c>
      <c r="C1252" s="15" t="s">
        <v>381</v>
      </c>
      <c r="D1252" s="59"/>
      <c r="E1252" s="68"/>
      <c r="F1252" s="54"/>
      <c r="G1252" s="54"/>
      <c r="H1252" s="54"/>
    </row>
    <row r="1253" spans="1:8" s="55" customFormat="1" ht="30" customHeight="1" x14ac:dyDescent="0.25">
      <c r="A1253" s="354">
        <v>1</v>
      </c>
      <c r="B1253" s="131" t="e">
        <f t="shared" si="33"/>
        <v>#REF!</v>
      </c>
      <c r="C1253" s="15" t="s">
        <v>382</v>
      </c>
      <c r="D1253" s="24"/>
      <c r="E1253" s="53"/>
      <c r="F1253" s="24"/>
      <c r="G1253" s="24"/>
      <c r="H1253" s="24"/>
    </row>
    <row r="1254" spans="1:8" s="55" customFormat="1" ht="30" customHeight="1" x14ac:dyDescent="0.25">
      <c r="A1254" s="354">
        <v>1</v>
      </c>
      <c r="B1254" s="131" t="e">
        <f t="shared" si="33"/>
        <v>#REF!</v>
      </c>
      <c r="C1254" s="15" t="s">
        <v>383</v>
      </c>
      <c r="D1254" s="59"/>
      <c r="E1254" s="60">
        <v>35</v>
      </c>
      <c r="F1254" s="54"/>
      <c r="G1254" s="54"/>
      <c r="H1254" s="54"/>
    </row>
    <row r="1255" spans="1:8" s="55" customFormat="1" ht="30" customHeight="1" x14ac:dyDescent="0.25">
      <c r="A1255" s="354">
        <v>1</v>
      </c>
      <c r="B1255" s="131" t="e">
        <f t="shared" si="33"/>
        <v>#REF!</v>
      </c>
      <c r="C1255" s="16" t="s">
        <v>194</v>
      </c>
      <c r="D1255" s="59"/>
      <c r="E1255" s="508">
        <f>SUM(E1256:E1258)</f>
        <v>7257</v>
      </c>
      <c r="F1255" s="2"/>
      <c r="G1255" s="54"/>
      <c r="H1255" s="54"/>
    </row>
    <row r="1256" spans="1:8" s="55" customFormat="1" ht="30" customHeight="1" x14ac:dyDescent="0.25">
      <c r="A1256" s="354">
        <v>1</v>
      </c>
      <c r="B1256" s="131" t="e">
        <f t="shared" si="33"/>
        <v>#REF!</v>
      </c>
      <c r="C1256" s="15" t="s">
        <v>384</v>
      </c>
      <c r="D1256" s="59"/>
      <c r="E1256" s="53">
        <v>2757</v>
      </c>
      <c r="F1256" s="2"/>
      <c r="G1256" s="54"/>
      <c r="H1256" s="54"/>
    </row>
    <row r="1257" spans="1:8" s="55" customFormat="1" ht="45" customHeight="1" x14ac:dyDescent="0.25">
      <c r="A1257" s="354">
        <v>1</v>
      </c>
      <c r="B1257" s="131" t="e">
        <f t="shared" si="33"/>
        <v>#REF!</v>
      </c>
      <c r="C1257" s="15" t="s">
        <v>385</v>
      </c>
      <c r="D1257" s="59"/>
      <c r="E1257" s="53">
        <v>2500</v>
      </c>
      <c r="F1257" s="2"/>
      <c r="G1257" s="54"/>
      <c r="H1257" s="54"/>
    </row>
    <row r="1258" spans="1:8" s="55" customFormat="1" ht="42.75" customHeight="1" x14ac:dyDescent="0.25">
      <c r="A1258" s="354">
        <v>1</v>
      </c>
      <c r="B1258" s="131" t="e">
        <f t="shared" ref="B1258:B1325" si="36">B1257+1</f>
        <v>#REF!</v>
      </c>
      <c r="C1258" s="15" t="s">
        <v>386</v>
      </c>
      <c r="D1258" s="59"/>
      <c r="E1258" s="502">
        <v>2000</v>
      </c>
      <c r="F1258" s="54"/>
      <c r="G1258" s="54"/>
      <c r="H1258" s="54"/>
    </row>
    <row r="1259" spans="1:8" s="51" customFormat="1" ht="15.75" customHeight="1" x14ac:dyDescent="0.25">
      <c r="A1259" s="354">
        <v>1</v>
      </c>
      <c r="B1259" s="131" t="e">
        <f t="shared" si="36"/>
        <v>#REF!</v>
      </c>
      <c r="C1259" s="14" t="s">
        <v>251</v>
      </c>
      <c r="D1259" s="13"/>
      <c r="E1259" s="508">
        <f>SUM(E1261,E1265,E1266,E1267,E1268)+E1270*5+E1271*5+E1272*10</f>
        <v>10051.25</v>
      </c>
      <c r="F1259" s="2"/>
      <c r="G1259" s="54"/>
      <c r="H1259" s="29"/>
    </row>
    <row r="1260" spans="1:8" s="51" customFormat="1" ht="15.75" customHeight="1" x14ac:dyDescent="0.25">
      <c r="A1260" s="354">
        <v>1</v>
      </c>
      <c r="B1260" s="131" t="e">
        <f t="shared" si="36"/>
        <v>#REF!</v>
      </c>
      <c r="C1260" s="15" t="s">
        <v>252</v>
      </c>
      <c r="D1260" s="41"/>
      <c r="E1260" s="53"/>
      <c r="F1260" s="2"/>
      <c r="G1260" s="54"/>
      <c r="H1260" s="29"/>
    </row>
    <row r="1261" spans="1:8" s="51" customFormat="1" ht="30" customHeight="1" x14ac:dyDescent="0.25">
      <c r="A1261" s="354">
        <v>1</v>
      </c>
      <c r="B1261" s="131" t="e">
        <f t="shared" si="36"/>
        <v>#REF!</v>
      </c>
      <c r="C1261" s="16" t="s">
        <v>388</v>
      </c>
      <c r="D1261" s="41"/>
      <c r="E1261" s="502">
        <f>E1262+E1264+E1263/4</f>
        <v>3106.25</v>
      </c>
      <c r="F1261" s="2"/>
      <c r="G1261" s="54"/>
      <c r="H1261" s="29"/>
    </row>
    <row r="1262" spans="1:8" s="145" customFormat="1" ht="15.75" customHeight="1" x14ac:dyDescent="0.25">
      <c r="A1262" s="354">
        <v>1</v>
      </c>
      <c r="B1262" s="131" t="e">
        <f t="shared" si="36"/>
        <v>#REF!</v>
      </c>
      <c r="C1262" s="15" t="s">
        <v>389</v>
      </c>
      <c r="D1262" s="13"/>
      <c r="E1262" s="17">
        <v>1000</v>
      </c>
      <c r="F1262" s="10"/>
      <c r="G1262" s="10"/>
      <c r="H1262" s="10"/>
    </row>
    <row r="1263" spans="1:8" s="55" customFormat="1" ht="30" customHeight="1" x14ac:dyDescent="0.25">
      <c r="A1263" s="354">
        <v>1</v>
      </c>
      <c r="B1263" s="131" t="e">
        <f t="shared" si="36"/>
        <v>#REF!</v>
      </c>
      <c r="C1263" s="15" t="s">
        <v>390</v>
      </c>
      <c r="D1263" s="277"/>
      <c r="E1263" s="53">
        <v>4425</v>
      </c>
      <c r="F1263" s="62"/>
      <c r="G1263" s="54"/>
      <c r="H1263" s="54"/>
    </row>
    <row r="1264" spans="1:8" s="55" customFormat="1" ht="45" customHeight="1" x14ac:dyDescent="0.25">
      <c r="A1264" s="354">
        <v>1</v>
      </c>
      <c r="B1264" s="131" t="e">
        <f t="shared" si="36"/>
        <v>#REF!</v>
      </c>
      <c r="C1264" s="15" t="s">
        <v>391</v>
      </c>
      <c r="D1264" s="61"/>
      <c r="E1264" s="60">
        <v>1000</v>
      </c>
      <c r="F1264" s="62"/>
      <c r="G1264" s="62"/>
      <c r="H1264" s="43"/>
    </row>
    <row r="1265" spans="1:8" s="55" customFormat="1" ht="45" customHeight="1" x14ac:dyDescent="0.25">
      <c r="A1265" s="354">
        <v>1</v>
      </c>
      <c r="B1265" s="131" t="e">
        <f t="shared" si="36"/>
        <v>#REF!</v>
      </c>
      <c r="C1265" s="15" t="s">
        <v>392</v>
      </c>
      <c r="D1265" s="13"/>
      <c r="E1265" s="53" t="s">
        <v>287</v>
      </c>
      <c r="F1265" s="62"/>
      <c r="G1265" s="62"/>
      <c r="H1265" s="43"/>
    </row>
    <row r="1266" spans="1:8" s="55" customFormat="1" ht="45" customHeight="1" x14ac:dyDescent="0.25">
      <c r="A1266" s="354">
        <v>1</v>
      </c>
      <c r="B1266" s="131" t="e">
        <f t="shared" si="36"/>
        <v>#REF!</v>
      </c>
      <c r="C1266" s="18" t="s">
        <v>393</v>
      </c>
      <c r="D1266" s="13"/>
      <c r="E1266" s="53">
        <v>500</v>
      </c>
      <c r="F1266" s="62"/>
      <c r="G1266" s="62"/>
      <c r="H1266" s="43"/>
    </row>
    <row r="1267" spans="1:8" s="55" customFormat="1" ht="75" customHeight="1" x14ac:dyDescent="0.25">
      <c r="A1267" s="354">
        <v>1</v>
      </c>
      <c r="B1267" s="131" t="e">
        <f t="shared" si="36"/>
        <v>#REF!</v>
      </c>
      <c r="C1267" s="18" t="s">
        <v>394</v>
      </c>
      <c r="D1267" s="13"/>
      <c r="E1267" s="53">
        <v>3000</v>
      </c>
      <c r="F1267" s="62"/>
      <c r="G1267" s="62"/>
      <c r="H1267" s="43"/>
    </row>
    <row r="1268" spans="1:8" s="55" customFormat="1" ht="30" customHeight="1" x14ac:dyDescent="0.25">
      <c r="A1268" s="354">
        <v>1</v>
      </c>
      <c r="B1268" s="131" t="e">
        <f t="shared" si="36"/>
        <v>#REF!</v>
      </c>
      <c r="C1268" s="15" t="s">
        <v>395</v>
      </c>
      <c r="D1268" s="13"/>
      <c r="E1268" s="53">
        <v>3145</v>
      </c>
      <c r="F1268" s="62"/>
      <c r="G1268" s="62"/>
      <c r="H1268" s="43"/>
    </row>
    <row r="1269" spans="1:8" s="55" customFormat="1" ht="28.5" x14ac:dyDescent="0.25">
      <c r="A1269" s="354"/>
      <c r="B1269" s="131"/>
      <c r="C1269" s="617" t="s">
        <v>422</v>
      </c>
      <c r="D1269" s="13"/>
      <c r="E1269" s="53">
        <f>E1270+E1271+E1272</f>
        <v>50</v>
      </c>
      <c r="F1269" s="62"/>
      <c r="G1269" s="62"/>
      <c r="H1269" s="43"/>
    </row>
    <row r="1270" spans="1:8" s="55" customFormat="1" ht="15.75" x14ac:dyDescent="0.25">
      <c r="A1270" s="354"/>
      <c r="B1270" s="131"/>
      <c r="C1270" s="18" t="s">
        <v>423</v>
      </c>
      <c r="D1270" s="13"/>
      <c r="E1270" s="53">
        <v>25</v>
      </c>
      <c r="F1270" s="62"/>
      <c r="G1270" s="62"/>
      <c r="H1270" s="43"/>
    </row>
    <row r="1271" spans="1:8" s="55" customFormat="1" ht="15.75" x14ac:dyDescent="0.25">
      <c r="A1271" s="354"/>
      <c r="B1271" s="131"/>
      <c r="C1271" s="18" t="s">
        <v>424</v>
      </c>
      <c r="D1271" s="13"/>
      <c r="E1271" s="53">
        <v>15</v>
      </c>
      <c r="F1271" s="62"/>
      <c r="G1271" s="62"/>
      <c r="H1271" s="43"/>
    </row>
    <row r="1272" spans="1:8" s="55" customFormat="1" ht="15.75" x14ac:dyDescent="0.25">
      <c r="A1272" s="354"/>
      <c r="B1272" s="131"/>
      <c r="C1272" s="18" t="s">
        <v>439</v>
      </c>
      <c r="D1272" s="13"/>
      <c r="E1272" s="53">
        <v>10</v>
      </c>
      <c r="F1272" s="62"/>
      <c r="G1272" s="62"/>
      <c r="H1272" s="43"/>
    </row>
    <row r="1273" spans="1:8" s="55" customFormat="1" ht="15.75" customHeight="1" x14ac:dyDescent="0.25">
      <c r="A1273" s="354">
        <v>1</v>
      </c>
      <c r="B1273" s="131" t="e">
        <f>B1268+1</f>
        <v>#REF!</v>
      </c>
      <c r="C1273" s="14" t="s">
        <v>253</v>
      </c>
      <c r="D1273" s="13"/>
      <c r="E1273" s="60">
        <f>E1274+E1276/9.4</f>
        <v>4755.3191489361698</v>
      </c>
      <c r="F1273" s="62"/>
      <c r="G1273" s="62"/>
      <c r="H1273" s="43"/>
    </row>
    <row r="1274" spans="1:8" s="55" customFormat="1" ht="15.75" customHeight="1" x14ac:dyDescent="0.25">
      <c r="A1274" s="354">
        <v>1</v>
      </c>
      <c r="B1274" s="131" t="e">
        <f t="shared" si="36"/>
        <v>#REF!</v>
      </c>
      <c r="C1274" s="14" t="s">
        <v>254</v>
      </c>
      <c r="D1274" s="13"/>
      <c r="E1274" s="60">
        <v>500</v>
      </c>
      <c r="F1274" s="62"/>
      <c r="G1274" s="62"/>
      <c r="H1274" s="43"/>
    </row>
    <row r="1275" spans="1:8" s="55" customFormat="1" ht="15.75" customHeight="1" x14ac:dyDescent="0.25">
      <c r="A1275" s="354">
        <v>1</v>
      </c>
      <c r="B1275" s="131" t="e">
        <f t="shared" si="36"/>
        <v>#REF!</v>
      </c>
      <c r="C1275" s="15" t="s">
        <v>255</v>
      </c>
      <c r="D1275" s="13"/>
      <c r="E1275" s="60">
        <f>E1276/9.4</f>
        <v>4255.3191489361698</v>
      </c>
      <c r="F1275" s="62"/>
      <c r="G1275" s="62"/>
      <c r="H1275" s="43"/>
    </row>
    <row r="1276" spans="1:8" s="55" customFormat="1" ht="15.75" customHeight="1" x14ac:dyDescent="0.25">
      <c r="A1276" s="354">
        <v>1</v>
      </c>
      <c r="B1276" s="131" t="e">
        <f t="shared" si="36"/>
        <v>#REF!</v>
      </c>
      <c r="C1276" s="42" t="s">
        <v>261</v>
      </c>
      <c r="D1276" s="13"/>
      <c r="E1276" s="60">
        <v>40000</v>
      </c>
      <c r="F1276" s="62"/>
      <c r="G1276" s="62"/>
      <c r="H1276" s="43"/>
    </row>
    <row r="1277" spans="1:8" s="55" customFormat="1" ht="29.25" customHeight="1" x14ac:dyDescent="0.25">
      <c r="A1277" s="354">
        <v>1</v>
      </c>
      <c r="B1277" s="131" t="e">
        <f t="shared" si="36"/>
        <v>#REF!</v>
      </c>
      <c r="C1277" s="14" t="s">
        <v>256</v>
      </c>
      <c r="D1277" s="13"/>
      <c r="E1277" s="60">
        <v>15000</v>
      </c>
      <c r="F1277" s="62"/>
      <c r="G1277" s="62"/>
      <c r="H1277" s="43"/>
    </row>
    <row r="1278" spans="1:8" s="55" customFormat="1" ht="15.75" customHeight="1" x14ac:dyDescent="0.25">
      <c r="A1278" s="354">
        <v>1</v>
      </c>
      <c r="B1278" s="131" t="e">
        <f t="shared" si="36"/>
        <v>#REF!</v>
      </c>
      <c r="C1278" s="19" t="s">
        <v>117</v>
      </c>
      <c r="D1278" s="13"/>
      <c r="E1278" s="68"/>
      <c r="F1278" s="62"/>
      <c r="G1278" s="62"/>
      <c r="H1278" s="43"/>
    </row>
    <row r="1279" spans="1:8" s="55" customFormat="1" ht="57.75" customHeight="1" x14ac:dyDescent="0.25">
      <c r="A1279" s="354">
        <v>1</v>
      </c>
      <c r="B1279" s="131" t="e">
        <f t="shared" si="36"/>
        <v>#REF!</v>
      </c>
      <c r="C1279" s="21" t="s">
        <v>259</v>
      </c>
      <c r="D1279" s="13"/>
      <c r="E1279" s="53">
        <v>3000</v>
      </c>
      <c r="F1279" s="62"/>
      <c r="G1279" s="62"/>
      <c r="H1279" s="43"/>
    </row>
    <row r="1280" spans="1:8" s="55" customFormat="1" ht="15.75" customHeight="1" x14ac:dyDescent="0.25">
      <c r="A1280" s="354">
        <v>1</v>
      </c>
      <c r="B1280" s="131" t="e">
        <f t="shared" si="36"/>
        <v>#REF!</v>
      </c>
      <c r="C1280" s="20" t="s">
        <v>165</v>
      </c>
      <c r="D1280" s="13"/>
      <c r="E1280" s="508">
        <f>SUM(E1281:E1314)</f>
        <v>10210</v>
      </c>
      <c r="F1280" s="62"/>
      <c r="G1280" s="62"/>
      <c r="H1280" s="43"/>
    </row>
    <row r="1281" spans="1:8" s="55" customFormat="1" ht="30" customHeight="1" x14ac:dyDescent="0.25">
      <c r="A1281" s="354">
        <v>1</v>
      </c>
      <c r="B1281" s="131" t="e">
        <f t="shared" si="36"/>
        <v>#REF!</v>
      </c>
      <c r="C1281" s="19" t="s">
        <v>124</v>
      </c>
      <c r="D1281" s="41"/>
      <c r="E1281" s="53">
        <v>350</v>
      </c>
      <c r="F1281" s="62"/>
      <c r="G1281" s="62"/>
      <c r="H1281" s="29"/>
    </row>
    <row r="1282" spans="1:8" s="55" customFormat="1" ht="15.75" customHeight="1" x14ac:dyDescent="0.25">
      <c r="A1282" s="354">
        <v>1</v>
      </c>
      <c r="B1282" s="131" t="e">
        <f t="shared" si="36"/>
        <v>#REF!</v>
      </c>
      <c r="C1282" s="545" t="s">
        <v>134</v>
      </c>
      <c r="D1282" s="41"/>
      <c r="E1282" s="53">
        <v>50</v>
      </c>
      <c r="F1282" s="62"/>
      <c r="G1282" s="62"/>
      <c r="H1282" s="29"/>
    </row>
    <row r="1283" spans="1:8" s="55" customFormat="1" ht="15.75" customHeight="1" x14ac:dyDescent="0.25">
      <c r="A1283" s="354">
        <v>1</v>
      </c>
      <c r="B1283" s="131" t="e">
        <f t="shared" si="36"/>
        <v>#REF!</v>
      </c>
      <c r="C1283" s="545" t="s">
        <v>173</v>
      </c>
      <c r="D1283" s="41"/>
      <c r="E1283" s="53">
        <v>100</v>
      </c>
      <c r="F1283" s="62"/>
      <c r="G1283" s="62"/>
      <c r="H1283" s="29"/>
    </row>
    <row r="1284" spans="1:8" s="55" customFormat="1" ht="15.75" customHeight="1" x14ac:dyDescent="0.25">
      <c r="A1284" s="354">
        <v>1</v>
      </c>
      <c r="B1284" s="131" t="e">
        <f t="shared" si="36"/>
        <v>#REF!</v>
      </c>
      <c r="C1284" s="545" t="s">
        <v>16</v>
      </c>
      <c r="D1284" s="41"/>
      <c r="E1284" s="53">
        <v>500</v>
      </c>
      <c r="F1284" s="62"/>
      <c r="G1284" s="62"/>
      <c r="H1284" s="29"/>
    </row>
    <row r="1285" spans="1:8" s="55" customFormat="1" ht="15.75" customHeight="1" x14ac:dyDescent="0.25">
      <c r="A1285" s="354">
        <v>1</v>
      </c>
      <c r="B1285" s="131" t="e">
        <f t="shared" si="36"/>
        <v>#REF!</v>
      </c>
      <c r="C1285" s="545" t="s">
        <v>53</v>
      </c>
      <c r="D1285" s="41"/>
      <c r="E1285" s="53">
        <v>500</v>
      </c>
      <c r="F1285" s="62"/>
      <c r="G1285" s="62"/>
      <c r="H1285" s="29"/>
    </row>
    <row r="1286" spans="1:8" s="55" customFormat="1" ht="15.75" customHeight="1" x14ac:dyDescent="0.25">
      <c r="A1286" s="354">
        <v>1</v>
      </c>
      <c r="B1286" s="131" t="e">
        <f t="shared" si="36"/>
        <v>#REF!</v>
      </c>
      <c r="C1286" s="545" t="s">
        <v>62</v>
      </c>
      <c r="D1286" s="41"/>
      <c r="E1286" s="53">
        <v>15</v>
      </c>
      <c r="F1286" s="62"/>
      <c r="G1286" s="62"/>
      <c r="H1286" s="29"/>
    </row>
    <row r="1287" spans="1:8" s="55" customFormat="1" ht="15.75" customHeight="1" x14ac:dyDescent="0.25">
      <c r="A1287" s="354">
        <v>1</v>
      </c>
      <c r="B1287" s="131" t="e">
        <f t="shared" si="36"/>
        <v>#REF!</v>
      </c>
      <c r="C1287" s="545" t="s">
        <v>17</v>
      </c>
      <c r="D1287" s="41"/>
      <c r="E1287" s="53">
        <v>180</v>
      </c>
      <c r="F1287" s="62"/>
      <c r="G1287" s="62"/>
      <c r="H1287" s="29"/>
    </row>
    <row r="1288" spans="1:8" s="55" customFormat="1" ht="30" customHeight="1" x14ac:dyDescent="0.25">
      <c r="A1288" s="354">
        <v>1</v>
      </c>
      <c r="B1288" s="131" t="e">
        <f t="shared" si="36"/>
        <v>#REF!</v>
      </c>
      <c r="C1288" s="545" t="s">
        <v>139</v>
      </c>
      <c r="D1288" s="41"/>
      <c r="E1288" s="53">
        <v>150</v>
      </c>
      <c r="F1288" s="62"/>
      <c r="G1288" s="62"/>
      <c r="H1288" s="29"/>
    </row>
    <row r="1289" spans="1:8" s="55" customFormat="1" ht="15.75" customHeight="1" x14ac:dyDescent="0.25">
      <c r="A1289" s="354">
        <v>1</v>
      </c>
      <c r="B1289" s="131" t="e">
        <f t="shared" si="36"/>
        <v>#REF!</v>
      </c>
      <c r="C1289" s="545" t="s">
        <v>147</v>
      </c>
      <c r="D1289" s="41"/>
      <c r="E1289" s="53">
        <v>250</v>
      </c>
      <c r="F1289" s="62"/>
      <c r="G1289" s="62"/>
      <c r="H1289" s="29"/>
    </row>
    <row r="1290" spans="1:8" s="55" customFormat="1" ht="30" customHeight="1" x14ac:dyDescent="0.25">
      <c r="A1290" s="354">
        <v>1</v>
      </c>
      <c r="B1290" s="131" t="e">
        <f t="shared" si="36"/>
        <v>#REF!</v>
      </c>
      <c r="C1290" s="545" t="s">
        <v>127</v>
      </c>
      <c r="D1290" s="41"/>
      <c r="E1290" s="53">
        <v>100</v>
      </c>
      <c r="F1290" s="62"/>
      <c r="G1290" s="62"/>
      <c r="H1290" s="29"/>
    </row>
    <row r="1291" spans="1:8" s="55" customFormat="1" ht="15.75" customHeight="1" x14ac:dyDescent="0.25">
      <c r="A1291" s="354">
        <v>1</v>
      </c>
      <c r="B1291" s="131" t="e">
        <f t="shared" si="36"/>
        <v>#REF!</v>
      </c>
      <c r="C1291" s="545" t="s">
        <v>30</v>
      </c>
      <c r="D1291" s="41"/>
      <c r="E1291" s="53">
        <v>300</v>
      </c>
      <c r="F1291" s="62"/>
      <c r="G1291" s="62"/>
      <c r="H1291" s="29"/>
    </row>
    <row r="1292" spans="1:8" s="55" customFormat="1" ht="15.75" customHeight="1" x14ac:dyDescent="0.25">
      <c r="A1292" s="354">
        <v>1</v>
      </c>
      <c r="B1292" s="131" t="e">
        <f t="shared" si="36"/>
        <v>#REF!</v>
      </c>
      <c r="C1292" s="545" t="s">
        <v>210</v>
      </c>
      <c r="D1292" s="41"/>
      <c r="E1292" s="53">
        <v>20</v>
      </c>
      <c r="F1292" s="62"/>
      <c r="G1292" s="62"/>
      <c r="H1292" s="29"/>
    </row>
    <row r="1293" spans="1:8" s="55" customFormat="1" ht="15.75" customHeight="1" x14ac:dyDescent="0.25">
      <c r="A1293" s="354">
        <v>1</v>
      </c>
      <c r="B1293" s="131" t="e">
        <f t="shared" si="36"/>
        <v>#REF!</v>
      </c>
      <c r="C1293" s="545" t="s">
        <v>416</v>
      </c>
      <c r="D1293" s="41"/>
      <c r="E1293" s="53">
        <v>200</v>
      </c>
      <c r="F1293" s="62"/>
      <c r="G1293" s="62"/>
      <c r="H1293" s="29"/>
    </row>
    <row r="1294" spans="1:8" s="55" customFormat="1" ht="30" customHeight="1" x14ac:dyDescent="0.25">
      <c r="A1294" s="354">
        <v>1</v>
      </c>
      <c r="B1294" s="131" t="e">
        <f t="shared" si="36"/>
        <v>#REF!</v>
      </c>
      <c r="C1294" s="545" t="s">
        <v>126</v>
      </c>
      <c r="D1294" s="41"/>
      <c r="E1294" s="53">
        <v>500</v>
      </c>
      <c r="F1294" s="62"/>
      <c r="G1294" s="62"/>
      <c r="H1294" s="29"/>
    </row>
    <row r="1295" spans="1:8" s="55" customFormat="1" ht="30" customHeight="1" x14ac:dyDescent="0.25">
      <c r="A1295" s="354">
        <v>1</v>
      </c>
      <c r="B1295" s="131" t="e">
        <f t="shared" si="36"/>
        <v>#REF!</v>
      </c>
      <c r="C1295" s="545" t="s">
        <v>72</v>
      </c>
      <c r="D1295" s="41"/>
      <c r="E1295" s="53">
        <v>500</v>
      </c>
      <c r="F1295" s="62"/>
      <c r="G1295" s="62"/>
      <c r="H1295" s="29"/>
    </row>
    <row r="1296" spans="1:8" s="55" customFormat="1" ht="45" customHeight="1" x14ac:dyDescent="0.25">
      <c r="A1296" s="354">
        <v>1</v>
      </c>
      <c r="B1296" s="131" t="e">
        <f t="shared" si="36"/>
        <v>#REF!</v>
      </c>
      <c r="C1296" s="545" t="s">
        <v>242</v>
      </c>
      <c r="D1296" s="41"/>
      <c r="E1296" s="53">
        <v>4000</v>
      </c>
      <c r="F1296" s="62"/>
      <c r="G1296" s="62"/>
      <c r="H1296" s="29"/>
    </row>
    <row r="1297" spans="1:8" s="55" customFormat="1" ht="75.75" customHeight="1" x14ac:dyDescent="0.25">
      <c r="A1297" s="354">
        <v>1</v>
      </c>
      <c r="B1297" s="131" t="e">
        <f t="shared" si="36"/>
        <v>#REF!</v>
      </c>
      <c r="C1297" s="545" t="s">
        <v>267</v>
      </c>
      <c r="D1297" s="41"/>
      <c r="E1297" s="53">
        <v>350</v>
      </c>
      <c r="F1297" s="62"/>
      <c r="G1297" s="62"/>
      <c r="H1297" s="29"/>
    </row>
    <row r="1298" spans="1:8" s="55" customFormat="1" ht="30" customHeight="1" x14ac:dyDescent="0.25">
      <c r="A1298" s="354">
        <v>1</v>
      </c>
      <c r="B1298" s="131" t="e">
        <f t="shared" si="36"/>
        <v>#REF!</v>
      </c>
      <c r="C1298" s="545" t="s">
        <v>95</v>
      </c>
      <c r="D1298" s="41"/>
      <c r="E1298" s="53">
        <v>150</v>
      </c>
      <c r="F1298" s="62"/>
      <c r="G1298" s="62"/>
      <c r="H1298" s="29"/>
    </row>
    <row r="1299" spans="1:8" s="55" customFormat="1" ht="15.75" customHeight="1" x14ac:dyDescent="0.25">
      <c r="A1299" s="354">
        <v>1</v>
      </c>
      <c r="B1299" s="131" t="e">
        <f t="shared" si="36"/>
        <v>#REF!</v>
      </c>
      <c r="C1299" s="545" t="s">
        <v>142</v>
      </c>
      <c r="D1299" s="41"/>
      <c r="E1299" s="53">
        <v>25</v>
      </c>
      <c r="F1299" s="62"/>
      <c r="G1299" s="62"/>
      <c r="H1299" s="29"/>
    </row>
    <row r="1300" spans="1:8" s="55" customFormat="1" ht="15.75" customHeight="1" x14ac:dyDescent="0.25">
      <c r="A1300" s="354">
        <v>1</v>
      </c>
      <c r="B1300" s="131" t="e">
        <f t="shared" si="36"/>
        <v>#REF!</v>
      </c>
      <c r="C1300" s="545" t="s">
        <v>50</v>
      </c>
      <c r="D1300" s="41"/>
      <c r="E1300" s="53">
        <v>20</v>
      </c>
      <c r="F1300" s="62"/>
      <c r="G1300" s="62"/>
      <c r="H1300" s="290"/>
    </row>
    <row r="1301" spans="1:8" s="55" customFormat="1" ht="15.75" customHeight="1" x14ac:dyDescent="0.25">
      <c r="A1301" s="354">
        <v>1</v>
      </c>
      <c r="B1301" s="131" t="e">
        <f t="shared" si="36"/>
        <v>#REF!</v>
      </c>
      <c r="C1301" s="545" t="s">
        <v>52</v>
      </c>
      <c r="D1301" s="41"/>
      <c r="E1301" s="53">
        <v>20</v>
      </c>
      <c r="F1301" s="62"/>
      <c r="G1301" s="62"/>
      <c r="H1301" s="290"/>
    </row>
    <row r="1302" spans="1:8" s="55" customFormat="1" ht="30" customHeight="1" x14ac:dyDescent="0.25">
      <c r="A1302" s="354">
        <v>1</v>
      </c>
      <c r="B1302" s="131" t="e">
        <f t="shared" si="36"/>
        <v>#REF!</v>
      </c>
      <c r="C1302" s="545" t="s">
        <v>148</v>
      </c>
      <c r="D1302" s="41"/>
      <c r="E1302" s="53">
        <v>50</v>
      </c>
      <c r="F1302" s="62"/>
      <c r="G1302" s="62"/>
      <c r="H1302" s="29"/>
    </row>
    <row r="1303" spans="1:8" s="55" customFormat="1" ht="15.75" customHeight="1" x14ac:dyDescent="0.25">
      <c r="A1303" s="354">
        <v>1</v>
      </c>
      <c r="B1303" s="131" t="e">
        <f t="shared" si="36"/>
        <v>#REF!</v>
      </c>
      <c r="C1303" s="545" t="s">
        <v>188</v>
      </c>
      <c r="D1303" s="41"/>
      <c r="E1303" s="53">
        <v>200</v>
      </c>
      <c r="F1303" s="62"/>
      <c r="G1303" s="62"/>
      <c r="H1303" s="29"/>
    </row>
    <row r="1304" spans="1:8" s="55" customFormat="1" ht="30" customHeight="1" x14ac:dyDescent="0.25">
      <c r="A1304" s="354">
        <v>1</v>
      </c>
      <c r="B1304" s="131" t="e">
        <f t="shared" si="36"/>
        <v>#REF!</v>
      </c>
      <c r="C1304" s="545" t="s">
        <v>204</v>
      </c>
      <c r="D1304" s="41"/>
      <c r="E1304" s="53">
        <v>300</v>
      </c>
      <c r="F1304" s="62"/>
      <c r="G1304" s="62"/>
      <c r="H1304" s="29"/>
    </row>
    <row r="1305" spans="1:8" s="55" customFormat="1" ht="30" customHeight="1" x14ac:dyDescent="0.25">
      <c r="A1305" s="354">
        <v>1</v>
      </c>
      <c r="B1305" s="131" t="e">
        <f t="shared" si="36"/>
        <v>#REF!</v>
      </c>
      <c r="C1305" s="545" t="s">
        <v>205</v>
      </c>
      <c r="D1305" s="41"/>
      <c r="E1305" s="53">
        <v>300</v>
      </c>
      <c r="F1305" s="62"/>
      <c r="G1305" s="62"/>
      <c r="H1305" s="29"/>
    </row>
    <row r="1306" spans="1:8" s="55" customFormat="1" ht="15.75" customHeight="1" x14ac:dyDescent="0.25">
      <c r="A1306" s="354">
        <v>1</v>
      </c>
      <c r="B1306" s="131" t="e">
        <f t="shared" si="36"/>
        <v>#REF!</v>
      </c>
      <c r="C1306" s="545" t="s">
        <v>15</v>
      </c>
      <c r="D1306" s="41"/>
      <c r="E1306" s="53">
        <v>250</v>
      </c>
      <c r="F1306" s="62"/>
      <c r="G1306" s="62"/>
      <c r="H1306" s="29"/>
    </row>
    <row r="1307" spans="1:8" s="55" customFormat="1" ht="15.75" customHeight="1" x14ac:dyDescent="0.25">
      <c r="A1307" s="354">
        <v>1</v>
      </c>
      <c r="B1307" s="131" t="e">
        <f t="shared" si="36"/>
        <v>#REF!</v>
      </c>
      <c r="C1307" s="545" t="s">
        <v>31</v>
      </c>
      <c r="D1307" s="41"/>
      <c r="E1307" s="53">
        <v>150</v>
      </c>
      <c r="F1307" s="62"/>
      <c r="G1307" s="62"/>
      <c r="H1307" s="29"/>
    </row>
    <row r="1308" spans="1:8" s="55" customFormat="1" ht="15.75" customHeight="1" x14ac:dyDescent="0.25">
      <c r="A1308" s="354">
        <v>1</v>
      </c>
      <c r="B1308" s="131" t="e">
        <f t="shared" si="36"/>
        <v>#REF!</v>
      </c>
      <c r="C1308" s="545" t="s">
        <v>27</v>
      </c>
      <c r="D1308" s="41"/>
      <c r="E1308" s="53">
        <v>50</v>
      </c>
      <c r="F1308" s="62"/>
      <c r="G1308" s="62"/>
      <c r="H1308" s="29"/>
    </row>
    <row r="1309" spans="1:8" s="55" customFormat="1" ht="30" customHeight="1" x14ac:dyDescent="0.25">
      <c r="A1309" s="354">
        <v>1</v>
      </c>
      <c r="B1309" s="131" t="e">
        <f t="shared" si="36"/>
        <v>#REF!</v>
      </c>
      <c r="C1309" s="545" t="s">
        <v>143</v>
      </c>
      <c r="D1309" s="41"/>
      <c r="E1309" s="53">
        <v>15</v>
      </c>
      <c r="F1309" s="62"/>
      <c r="G1309" s="62"/>
      <c r="H1309" s="43"/>
    </row>
    <row r="1310" spans="1:8" s="55" customFormat="1" ht="15.75" customHeight="1" x14ac:dyDescent="0.25">
      <c r="A1310" s="354">
        <v>1</v>
      </c>
      <c r="B1310" s="131" t="e">
        <f t="shared" si="36"/>
        <v>#REF!</v>
      </c>
      <c r="C1310" s="545" t="s">
        <v>51</v>
      </c>
      <c r="D1310" s="41"/>
      <c r="E1310" s="53">
        <v>250</v>
      </c>
      <c r="F1310" s="62"/>
      <c r="G1310" s="62"/>
      <c r="H1310" s="290"/>
    </row>
    <row r="1311" spans="1:8" s="55" customFormat="1" ht="15.75" customHeight="1" x14ac:dyDescent="0.25">
      <c r="A1311" s="354">
        <v>1</v>
      </c>
      <c r="B1311" s="131" t="e">
        <f t="shared" si="36"/>
        <v>#REF!</v>
      </c>
      <c r="C1311" s="545" t="s">
        <v>138</v>
      </c>
      <c r="D1311" s="41"/>
      <c r="E1311" s="53">
        <v>25</v>
      </c>
      <c r="F1311" s="62"/>
      <c r="G1311" s="62"/>
      <c r="H1311" s="290"/>
    </row>
    <row r="1312" spans="1:8" s="55" customFormat="1" ht="15.75" customHeight="1" x14ac:dyDescent="0.25">
      <c r="A1312" s="354">
        <v>1</v>
      </c>
      <c r="B1312" s="131" t="e">
        <f t="shared" si="36"/>
        <v>#REF!</v>
      </c>
      <c r="C1312" s="545" t="s">
        <v>122</v>
      </c>
      <c r="D1312" s="41"/>
      <c r="E1312" s="53">
        <v>20</v>
      </c>
      <c r="F1312" s="62"/>
      <c r="G1312" s="62"/>
      <c r="H1312" s="290"/>
    </row>
    <row r="1313" spans="1:8" ht="15.75" customHeight="1" x14ac:dyDescent="0.25">
      <c r="A1313" s="354">
        <v>1</v>
      </c>
      <c r="B1313" s="131" t="e">
        <f t="shared" si="36"/>
        <v>#REF!</v>
      </c>
      <c r="C1313" s="545" t="s">
        <v>100</v>
      </c>
      <c r="D1313" s="41"/>
      <c r="E1313" s="53">
        <v>20</v>
      </c>
      <c r="F1313" s="62"/>
      <c r="G1313" s="62"/>
      <c r="H1313" s="367"/>
    </row>
    <row r="1314" spans="1:8" s="55" customFormat="1" ht="15.75" customHeight="1" x14ac:dyDescent="0.25">
      <c r="A1314" s="354">
        <v>1</v>
      </c>
      <c r="B1314" s="131" t="e">
        <f t="shared" si="36"/>
        <v>#REF!</v>
      </c>
      <c r="C1314" s="545" t="s">
        <v>119</v>
      </c>
      <c r="D1314" s="41"/>
      <c r="E1314" s="53">
        <v>300</v>
      </c>
      <c r="F1314" s="62"/>
      <c r="G1314" s="62"/>
      <c r="H1314" s="43"/>
    </row>
    <row r="1315" spans="1:8" s="55" customFormat="1" ht="43.5" customHeight="1" x14ac:dyDescent="0.25">
      <c r="A1315" s="354">
        <v>1</v>
      </c>
      <c r="B1315" s="131" t="e">
        <f t="shared" si="36"/>
        <v>#REF!</v>
      </c>
      <c r="C1315" s="21" t="s">
        <v>396</v>
      </c>
      <c r="D1315" s="41"/>
      <c r="E1315" s="508">
        <f>E1246</f>
        <v>5330</v>
      </c>
      <c r="F1315" s="62"/>
      <c r="G1315" s="62"/>
      <c r="H1315" s="29"/>
    </row>
    <row r="1316" spans="1:8" s="55" customFormat="1" ht="15.75" customHeight="1" x14ac:dyDescent="0.25">
      <c r="A1316" s="354">
        <v>1</v>
      </c>
      <c r="B1316" s="131" t="e">
        <f t="shared" si="36"/>
        <v>#REF!</v>
      </c>
      <c r="C1316" s="21" t="s">
        <v>195</v>
      </c>
      <c r="D1316" s="41"/>
      <c r="E1316" s="508">
        <f>E1259+E1235</f>
        <v>62051.25</v>
      </c>
      <c r="F1316" s="62"/>
      <c r="G1316" s="62"/>
      <c r="H1316" s="29"/>
    </row>
    <row r="1317" spans="1:8" s="55" customFormat="1" ht="29.25" customHeight="1" x14ac:dyDescent="0.25">
      <c r="A1317" s="354">
        <v>1</v>
      </c>
      <c r="B1317" s="131" t="e">
        <f t="shared" si="36"/>
        <v>#REF!</v>
      </c>
      <c r="C1317" s="21" t="s">
        <v>196</v>
      </c>
      <c r="D1317" s="41"/>
      <c r="E1317" s="508">
        <f>E1247</f>
        <v>19080</v>
      </c>
      <c r="F1317" s="62"/>
      <c r="G1317" s="62"/>
      <c r="H1317" s="29"/>
    </row>
    <row r="1318" spans="1:8" s="55" customFormat="1" ht="15.75" customHeight="1" x14ac:dyDescent="0.25">
      <c r="A1318" s="354">
        <v>1</v>
      </c>
      <c r="B1318" s="131" t="e">
        <f t="shared" si="36"/>
        <v>#REF!</v>
      </c>
      <c r="C1318" s="21" t="s">
        <v>197</v>
      </c>
      <c r="D1318" s="41"/>
      <c r="E1318" s="508">
        <f>E1273+E1241</f>
        <v>36820.319148936171</v>
      </c>
      <c r="F1318" s="62"/>
      <c r="G1318" s="62"/>
      <c r="H1318" s="29"/>
    </row>
    <row r="1319" spans="1:8" s="55" customFormat="1" ht="29.25" customHeight="1" x14ac:dyDescent="0.25">
      <c r="A1319" s="354">
        <v>1</v>
      </c>
      <c r="B1319" s="131" t="e">
        <f t="shared" si="36"/>
        <v>#REF!</v>
      </c>
      <c r="C1319" s="21" t="s">
        <v>198</v>
      </c>
      <c r="D1319" s="41"/>
      <c r="E1319" s="508">
        <f>E1277+E1279</f>
        <v>18000</v>
      </c>
      <c r="F1319" s="62"/>
      <c r="G1319" s="62"/>
      <c r="H1319" s="29"/>
    </row>
    <row r="1320" spans="1:8" s="55" customFormat="1" ht="15.75" customHeight="1" x14ac:dyDescent="0.25">
      <c r="A1320" s="354">
        <v>1</v>
      </c>
      <c r="B1320" s="131" t="e">
        <f t="shared" si="36"/>
        <v>#REF!</v>
      </c>
      <c r="C1320" s="22" t="s">
        <v>112</v>
      </c>
      <c r="D1320" s="41"/>
      <c r="E1320" s="508">
        <f>E1316+E1317+E1319+E1274*2.6+E1241*2.6+E1276/4.2+E1315*2.6</f>
        <v>207182.05952380953</v>
      </c>
      <c r="F1320" s="62"/>
      <c r="G1320" s="62"/>
      <c r="H1320" s="29"/>
    </row>
    <row r="1321" spans="1:8" s="51" customFormat="1" ht="15.75" customHeight="1" x14ac:dyDescent="0.25">
      <c r="A1321" s="354">
        <v>1</v>
      </c>
      <c r="B1321" s="131" t="e">
        <f t="shared" si="36"/>
        <v>#REF!</v>
      </c>
      <c r="C1321" s="581" t="s">
        <v>7</v>
      </c>
      <c r="D1321" s="2"/>
      <c r="E1321" s="582"/>
      <c r="F1321" s="18"/>
      <c r="G1321" s="18"/>
      <c r="H1321" s="2"/>
    </row>
    <row r="1322" spans="1:8" s="51" customFormat="1" ht="15.75" customHeight="1" x14ac:dyDescent="0.25">
      <c r="A1322" s="354">
        <v>1</v>
      </c>
      <c r="B1322" s="131" t="e">
        <f t="shared" si="36"/>
        <v>#REF!</v>
      </c>
      <c r="C1322" s="44" t="s">
        <v>93</v>
      </c>
      <c r="D1322" s="18"/>
      <c r="E1322" s="583"/>
      <c r="F1322" s="18"/>
      <c r="G1322" s="306"/>
      <c r="H1322" s="2"/>
    </row>
    <row r="1323" spans="1:8" s="51" customFormat="1" ht="15.75" customHeight="1" x14ac:dyDescent="0.25">
      <c r="A1323" s="354">
        <v>1</v>
      </c>
      <c r="B1323" s="131" t="e">
        <f t="shared" si="36"/>
        <v>#REF!</v>
      </c>
      <c r="C1323" s="584"/>
      <c r="D1323" s="18"/>
      <c r="E1323" s="583"/>
      <c r="F1323" s="18"/>
      <c r="G1323" s="306"/>
      <c r="H1323" s="2"/>
    </row>
    <row r="1324" spans="1:8" s="51" customFormat="1" ht="15.75" customHeight="1" x14ac:dyDescent="0.25">
      <c r="A1324" s="354">
        <v>1</v>
      </c>
      <c r="B1324" s="131" t="e">
        <f t="shared" si="36"/>
        <v>#REF!</v>
      </c>
      <c r="C1324" s="584" t="s">
        <v>55</v>
      </c>
      <c r="D1324" s="18">
        <v>300</v>
      </c>
      <c r="E1324" s="53">
        <v>70</v>
      </c>
      <c r="F1324" s="307">
        <v>7</v>
      </c>
      <c r="G1324" s="2">
        <f>ROUND(H1324/D1324,0)</f>
        <v>2</v>
      </c>
      <c r="H1324" s="2">
        <f>ROUND(E1324*F1324,0)</f>
        <v>490</v>
      </c>
    </row>
    <row r="1325" spans="1:8" s="51" customFormat="1" ht="15.75" customHeight="1" x14ac:dyDescent="0.25">
      <c r="A1325" s="354">
        <v>1</v>
      </c>
      <c r="B1325" s="131" t="e">
        <f t="shared" si="36"/>
        <v>#REF!</v>
      </c>
      <c r="C1325" s="584" t="s">
        <v>61</v>
      </c>
      <c r="D1325" s="18">
        <v>300</v>
      </c>
      <c r="E1325" s="53">
        <v>82</v>
      </c>
      <c r="F1325" s="307">
        <v>10</v>
      </c>
      <c r="G1325" s="2">
        <f>ROUND(H1325/D1325,0)</f>
        <v>3</v>
      </c>
      <c r="H1325" s="2">
        <f>ROUND(E1325*F1325,0)</f>
        <v>820</v>
      </c>
    </row>
    <row r="1326" spans="1:8" s="51" customFormat="1" ht="15.75" customHeight="1" x14ac:dyDescent="0.25">
      <c r="A1326" s="354">
        <v>1</v>
      </c>
      <c r="B1326" s="131" t="e">
        <f t="shared" ref="B1326:B1389" si="37">B1325+1</f>
        <v>#REF!</v>
      </c>
      <c r="C1326" s="584" t="s">
        <v>19</v>
      </c>
      <c r="D1326" s="18">
        <v>300</v>
      </c>
      <c r="E1326" s="53">
        <v>85</v>
      </c>
      <c r="F1326" s="307">
        <v>7</v>
      </c>
      <c r="G1326" s="2">
        <f>ROUND(H1326/D1326,0)</f>
        <v>2</v>
      </c>
      <c r="H1326" s="2">
        <f>ROUND(E1326*F1326,0)</f>
        <v>595</v>
      </c>
    </row>
    <row r="1327" spans="1:8" s="51" customFormat="1" ht="15.75" customHeight="1" x14ac:dyDescent="0.25">
      <c r="A1327" s="354">
        <v>1</v>
      </c>
      <c r="B1327" s="131" t="e">
        <f t="shared" si="37"/>
        <v>#REF!</v>
      </c>
      <c r="C1327" s="547" t="s">
        <v>9</v>
      </c>
      <c r="D1327" s="18"/>
      <c r="E1327" s="506">
        <f>SUM(E1324:E1326)</f>
        <v>237</v>
      </c>
      <c r="F1327" s="158">
        <f>H1327/E1327</f>
        <v>8.037974683544304</v>
      </c>
      <c r="G1327" s="585">
        <f>SUM(G1324:G1326)</f>
        <v>7</v>
      </c>
      <c r="H1327" s="29">
        <f>SUM(H1324:H1326)</f>
        <v>1905</v>
      </c>
    </row>
    <row r="1328" spans="1:8" s="51" customFormat="1" ht="15.75" customHeight="1" x14ac:dyDescent="0.25">
      <c r="A1328" s="354">
        <v>1</v>
      </c>
      <c r="B1328" s="131" t="e">
        <f t="shared" si="37"/>
        <v>#REF!</v>
      </c>
      <c r="C1328" s="293" t="s">
        <v>71</v>
      </c>
      <c r="D1328" s="18"/>
      <c r="E1328" s="506"/>
      <c r="F1328" s="158"/>
      <c r="G1328" s="586"/>
      <c r="H1328" s="29"/>
    </row>
    <row r="1329" spans="1:8" s="51" customFormat="1" ht="15.75" customHeight="1" x14ac:dyDescent="0.25">
      <c r="A1329" s="354">
        <v>1</v>
      </c>
      <c r="B1329" s="131" t="e">
        <f t="shared" si="37"/>
        <v>#REF!</v>
      </c>
      <c r="C1329" s="587" t="s">
        <v>21</v>
      </c>
      <c r="D1329" s="588">
        <v>240</v>
      </c>
      <c r="E1329" s="60">
        <v>35</v>
      </c>
      <c r="F1329" s="467">
        <v>3</v>
      </c>
      <c r="G1329" s="2">
        <f>ROUND(H1329/D1329,0)</f>
        <v>0</v>
      </c>
      <c r="H1329" s="2">
        <f>ROUND(E1329*F1329,0)</f>
        <v>105</v>
      </c>
    </row>
    <row r="1330" spans="1:8" s="51" customFormat="1" ht="15.75" customHeight="1" x14ac:dyDescent="0.25">
      <c r="A1330" s="354">
        <v>1</v>
      </c>
      <c r="B1330" s="131" t="e">
        <f t="shared" si="37"/>
        <v>#REF!</v>
      </c>
      <c r="C1330" s="574" t="s">
        <v>55</v>
      </c>
      <c r="D1330" s="588">
        <v>240</v>
      </c>
      <c r="E1330" s="60">
        <v>438</v>
      </c>
      <c r="F1330" s="589">
        <v>8</v>
      </c>
      <c r="G1330" s="2">
        <f>ROUND(H1330/D1330,0)</f>
        <v>15</v>
      </c>
      <c r="H1330" s="2">
        <f>ROUND(E1330*F1330,0)</f>
        <v>3504</v>
      </c>
    </row>
    <row r="1331" spans="1:8" s="51" customFormat="1" ht="15.75" customHeight="1" x14ac:dyDescent="0.25">
      <c r="A1331" s="354">
        <v>1</v>
      </c>
      <c r="B1331" s="131" t="e">
        <f t="shared" si="37"/>
        <v>#REF!</v>
      </c>
      <c r="C1331" s="539" t="s">
        <v>35</v>
      </c>
      <c r="D1331" s="588">
        <v>240</v>
      </c>
      <c r="E1331" s="60">
        <v>481</v>
      </c>
      <c r="F1331" s="589">
        <v>8</v>
      </c>
      <c r="G1331" s="2">
        <f>ROUND(H1331/D1331,0)</f>
        <v>16</v>
      </c>
      <c r="H1331" s="2">
        <f>ROUND(E1331*F1331,0)</f>
        <v>3848</v>
      </c>
    </row>
    <row r="1332" spans="1:8" s="51" customFormat="1" ht="15.75" customHeight="1" x14ac:dyDescent="0.25">
      <c r="A1332" s="354">
        <v>1</v>
      </c>
      <c r="B1332" s="131" t="e">
        <f t="shared" si="37"/>
        <v>#REF!</v>
      </c>
      <c r="C1332" s="587" t="s">
        <v>69</v>
      </c>
      <c r="D1332" s="588">
        <v>240</v>
      </c>
      <c r="E1332" s="60">
        <v>124</v>
      </c>
      <c r="F1332" s="589">
        <v>3</v>
      </c>
      <c r="G1332" s="2">
        <f>ROUND(H1332/D1332,0)</f>
        <v>2</v>
      </c>
      <c r="H1332" s="2">
        <f>ROUND(E1332*F1332,0)</f>
        <v>372</v>
      </c>
    </row>
    <row r="1333" spans="1:8" s="51" customFormat="1" ht="15.75" customHeight="1" x14ac:dyDescent="0.25">
      <c r="A1333" s="354">
        <v>1</v>
      </c>
      <c r="B1333" s="131" t="e">
        <f t="shared" si="37"/>
        <v>#REF!</v>
      </c>
      <c r="C1333" s="590" t="s">
        <v>94</v>
      </c>
      <c r="D1333" s="588"/>
      <c r="E1333" s="383">
        <f>SUM(E1329:E1332)</f>
        <v>1078</v>
      </c>
      <c r="F1333" s="158">
        <f>H1333/E1333</f>
        <v>7.26252319109462</v>
      </c>
      <c r="G1333" s="78">
        <f>SUM(G1329:G1332)</f>
        <v>33</v>
      </c>
      <c r="H1333" s="78">
        <f>SUM(H1329:H1332)</f>
        <v>7829</v>
      </c>
    </row>
    <row r="1334" spans="1:8" s="51" customFormat="1" ht="15.75" customHeight="1" x14ac:dyDescent="0.25">
      <c r="A1334" s="354">
        <v>1</v>
      </c>
      <c r="B1334" s="131" t="e">
        <f t="shared" si="37"/>
        <v>#REF!</v>
      </c>
      <c r="C1334" s="591" t="s">
        <v>88</v>
      </c>
      <c r="D1334" s="588"/>
      <c r="E1334" s="508">
        <f>E1327+E1333</f>
        <v>1315</v>
      </c>
      <c r="F1334" s="158">
        <f>H1334/E1334</f>
        <v>7.402281368821293</v>
      </c>
      <c r="G1334" s="29">
        <f>G1327+G1333</f>
        <v>40</v>
      </c>
      <c r="H1334" s="43">
        <f>H1327+H1333</f>
        <v>9734</v>
      </c>
    </row>
    <row r="1335" spans="1:8" s="51" customFormat="1" ht="31.5" customHeight="1" x14ac:dyDescent="0.25">
      <c r="A1335" s="354">
        <v>1</v>
      </c>
      <c r="B1335" s="131" t="e">
        <f t="shared" si="37"/>
        <v>#REF!</v>
      </c>
      <c r="C1335" s="592" t="s">
        <v>104</v>
      </c>
      <c r="D1335" s="588"/>
      <c r="E1335" s="369">
        <v>4450</v>
      </c>
      <c r="F1335" s="158"/>
      <c r="G1335" s="29"/>
      <c r="H1335" s="29"/>
    </row>
    <row r="1336" spans="1:8" s="51" customFormat="1" ht="31.5" customHeight="1" x14ac:dyDescent="0.25">
      <c r="A1336" s="354">
        <v>1</v>
      </c>
      <c r="B1336" s="131" t="e">
        <f t="shared" si="37"/>
        <v>#REF!</v>
      </c>
      <c r="C1336" s="592" t="s">
        <v>103</v>
      </c>
      <c r="D1336" s="588"/>
      <c r="E1336" s="593">
        <v>950</v>
      </c>
      <c r="F1336" s="158"/>
      <c r="G1336" s="29"/>
      <c r="H1336" s="29"/>
    </row>
    <row r="1337" spans="1:8" s="51" customFormat="1" ht="15.75" customHeight="1" x14ac:dyDescent="0.25">
      <c r="A1337" s="354">
        <v>1</v>
      </c>
      <c r="B1337" s="131" t="e">
        <f t="shared" si="37"/>
        <v>#REF!</v>
      </c>
      <c r="C1337" s="592" t="s">
        <v>114</v>
      </c>
      <c r="D1337" s="580"/>
      <c r="E1337" s="593">
        <v>20</v>
      </c>
      <c r="F1337" s="594"/>
      <c r="G1337" s="31"/>
      <c r="H1337" s="31"/>
    </row>
    <row r="1338" spans="1:8" s="51" customFormat="1" ht="15.75" customHeight="1" x14ac:dyDescent="0.25">
      <c r="A1338" s="354">
        <v>1</v>
      </c>
      <c r="B1338" s="131" t="e">
        <f t="shared" si="37"/>
        <v>#REF!</v>
      </c>
      <c r="C1338" s="162" t="s">
        <v>166</v>
      </c>
      <c r="D1338" s="595"/>
      <c r="E1338" s="596">
        <f>SUM(E1335:E1337)</f>
        <v>5420</v>
      </c>
      <c r="F1338" s="597"/>
      <c r="G1338" s="598"/>
      <c r="H1338" s="598"/>
    </row>
    <row r="1339" spans="1:8" ht="16.5" customHeight="1" thickBot="1" x14ac:dyDescent="0.3">
      <c r="A1339" s="354">
        <v>1</v>
      </c>
      <c r="B1339" s="131" t="e">
        <f t="shared" si="37"/>
        <v>#REF!</v>
      </c>
      <c r="C1339" s="599" t="s">
        <v>213</v>
      </c>
      <c r="D1339" s="600"/>
      <c r="E1339" s="601"/>
      <c r="F1339" s="602"/>
      <c r="G1339" s="602"/>
      <c r="H1339" s="602"/>
    </row>
    <row r="1340" spans="1:8" ht="15.75" hidden="1" customHeight="1" x14ac:dyDescent="0.25">
      <c r="A1340" s="354">
        <v>1</v>
      </c>
      <c r="B1340" s="131" t="e">
        <f t="shared" si="37"/>
        <v>#REF!</v>
      </c>
      <c r="C1340" s="535"/>
      <c r="D1340" s="603"/>
      <c r="E1340" s="493"/>
      <c r="F1340" s="494"/>
      <c r="G1340" s="494"/>
      <c r="H1340" s="494"/>
    </row>
    <row r="1341" spans="1:8" ht="43.5" hidden="1" customHeight="1" x14ac:dyDescent="0.25">
      <c r="A1341" s="354">
        <v>1</v>
      </c>
      <c r="B1341" s="131" t="e">
        <f t="shared" si="37"/>
        <v>#REF!</v>
      </c>
      <c r="C1341" s="65" t="s">
        <v>371</v>
      </c>
      <c r="D1341" s="372"/>
      <c r="E1341" s="53"/>
      <c r="F1341" s="2"/>
      <c r="G1341" s="2"/>
      <c r="H1341" s="2"/>
    </row>
    <row r="1342" spans="1:8" s="55" customFormat="1" ht="48.75" hidden="1" customHeight="1" x14ac:dyDescent="0.25">
      <c r="A1342" s="354">
        <v>1</v>
      </c>
      <c r="B1342" s="131" t="e">
        <f t="shared" si="37"/>
        <v>#REF!</v>
      </c>
      <c r="C1342" s="128" t="s">
        <v>250</v>
      </c>
      <c r="D1342" s="12"/>
      <c r="E1342" s="512"/>
      <c r="F1342" s="54"/>
      <c r="G1342" s="54"/>
      <c r="H1342" s="54"/>
    </row>
    <row r="1343" spans="1:8" s="55" customFormat="1" ht="15.75" hidden="1" customHeight="1" x14ac:dyDescent="0.25">
      <c r="A1343" s="354">
        <v>1</v>
      </c>
      <c r="B1343" s="131" t="e">
        <f t="shared" si="37"/>
        <v>#REF!</v>
      </c>
      <c r="C1343" s="14" t="s">
        <v>192</v>
      </c>
      <c r="D1343" s="12"/>
      <c r="E1343" s="512">
        <f>E1345+E1347+E1348</f>
        <v>1800</v>
      </c>
      <c r="F1343" s="54"/>
      <c r="G1343" s="54"/>
      <c r="H1343" s="54"/>
    </row>
    <row r="1344" spans="1:8" s="55" customFormat="1" ht="15.75" hidden="1" customHeight="1" x14ac:dyDescent="0.25">
      <c r="A1344" s="354">
        <v>1</v>
      </c>
      <c r="B1344" s="131" t="e">
        <f t="shared" si="37"/>
        <v>#REF!</v>
      </c>
      <c r="C1344" s="18" t="s">
        <v>116</v>
      </c>
      <c r="D1344" s="12"/>
      <c r="E1344" s="512"/>
      <c r="F1344" s="54"/>
      <c r="G1344" s="54"/>
      <c r="H1344" s="54"/>
    </row>
    <row r="1345" spans="1:8" s="55" customFormat="1" ht="30" hidden="1" customHeight="1" x14ac:dyDescent="0.25">
      <c r="A1345" s="354">
        <v>1</v>
      </c>
      <c r="B1345" s="131" t="e">
        <f t="shared" si="37"/>
        <v>#REF!</v>
      </c>
      <c r="C1345" s="15" t="s">
        <v>397</v>
      </c>
      <c r="D1345" s="12"/>
      <c r="E1345" s="56">
        <v>1000</v>
      </c>
      <c r="F1345" s="54"/>
      <c r="G1345" s="54"/>
      <c r="H1345" s="54"/>
    </row>
    <row r="1346" spans="1:8" s="55" customFormat="1" ht="45" hidden="1" customHeight="1" x14ac:dyDescent="0.25">
      <c r="A1346" s="354">
        <v>1</v>
      </c>
      <c r="B1346" s="131" t="e">
        <f t="shared" si="37"/>
        <v>#REF!</v>
      </c>
      <c r="C1346" s="15" t="s">
        <v>398</v>
      </c>
      <c r="D1346" s="12"/>
      <c r="E1346" s="56"/>
      <c r="F1346" s="54"/>
      <c r="G1346" s="54"/>
      <c r="H1346" s="54"/>
    </row>
    <row r="1347" spans="1:8" s="55" customFormat="1" ht="45" hidden="1" customHeight="1" x14ac:dyDescent="0.25">
      <c r="A1347" s="354">
        <v>1</v>
      </c>
      <c r="B1347" s="131" t="e">
        <f t="shared" si="37"/>
        <v>#REF!</v>
      </c>
      <c r="C1347" s="15" t="s">
        <v>399</v>
      </c>
      <c r="D1347" s="12"/>
      <c r="E1347" s="56">
        <v>300</v>
      </c>
      <c r="F1347" s="54"/>
      <c r="G1347" s="54"/>
      <c r="H1347" s="54"/>
    </row>
    <row r="1348" spans="1:8" s="55" customFormat="1" ht="75" hidden="1" customHeight="1" x14ac:dyDescent="0.25">
      <c r="A1348" s="354">
        <v>1</v>
      </c>
      <c r="B1348" s="131" t="e">
        <f t="shared" si="37"/>
        <v>#REF!</v>
      </c>
      <c r="C1348" s="15" t="s">
        <v>400</v>
      </c>
      <c r="D1348" s="12"/>
      <c r="E1348" s="56">
        <v>500</v>
      </c>
      <c r="F1348" s="54"/>
      <c r="G1348" s="54"/>
      <c r="H1348" s="54"/>
    </row>
    <row r="1349" spans="1:8" s="55" customFormat="1" ht="15.75" hidden="1" customHeight="1" x14ac:dyDescent="0.25">
      <c r="A1349" s="354">
        <v>1</v>
      </c>
      <c r="B1349" s="131" t="e">
        <f t="shared" si="37"/>
        <v>#REF!</v>
      </c>
      <c r="C1349" s="57" t="s">
        <v>90</v>
      </c>
      <c r="D1349" s="12"/>
      <c r="E1349" s="512">
        <f>E1350+E1351+E1352</f>
        <v>5091</v>
      </c>
      <c r="F1349" s="54"/>
      <c r="G1349" s="54"/>
      <c r="H1349" s="54"/>
    </row>
    <row r="1350" spans="1:8" s="55" customFormat="1" ht="15.75" hidden="1" customHeight="1" x14ac:dyDescent="0.25">
      <c r="A1350" s="354">
        <v>1</v>
      </c>
      <c r="B1350" s="131" t="e">
        <f t="shared" si="37"/>
        <v>#REF!</v>
      </c>
      <c r="C1350" s="15" t="s">
        <v>145</v>
      </c>
      <c r="D1350" s="12"/>
      <c r="E1350" s="56">
        <v>4864</v>
      </c>
      <c r="F1350" s="54"/>
      <c r="G1350" s="54"/>
      <c r="H1350" s="54"/>
    </row>
    <row r="1351" spans="1:8" s="55" customFormat="1" ht="45" hidden="1" x14ac:dyDescent="0.25">
      <c r="A1351" s="354">
        <v>1</v>
      </c>
      <c r="B1351" s="131" t="e">
        <f t="shared" si="37"/>
        <v>#REF!</v>
      </c>
      <c r="C1351" s="15" t="s">
        <v>414</v>
      </c>
      <c r="D1351" s="12"/>
      <c r="E1351" s="568">
        <v>9</v>
      </c>
      <c r="F1351" s="54"/>
      <c r="G1351" s="54"/>
      <c r="H1351" s="54"/>
    </row>
    <row r="1352" spans="1:8" s="55" customFormat="1" ht="60" hidden="1" x14ac:dyDescent="0.25">
      <c r="A1352" s="354"/>
      <c r="B1352" s="131"/>
      <c r="C1352" s="15" t="s">
        <v>421</v>
      </c>
      <c r="D1352" s="12"/>
      <c r="E1352" s="568">
        <v>218</v>
      </c>
      <c r="F1352" s="54"/>
      <c r="G1352" s="54"/>
      <c r="H1352" s="54"/>
    </row>
    <row r="1353" spans="1:8" s="55" customFormat="1" ht="15" hidden="1" customHeight="1" x14ac:dyDescent="0.25">
      <c r="A1353" s="354">
        <v>1</v>
      </c>
      <c r="B1353" s="131" t="e">
        <f>B1351+1</f>
        <v>#REF!</v>
      </c>
      <c r="C1353" s="33" t="s">
        <v>98</v>
      </c>
      <c r="D1353" s="12"/>
      <c r="E1353" s="568"/>
      <c r="F1353" s="54"/>
      <c r="G1353" s="54"/>
      <c r="H1353" s="54"/>
    </row>
    <row r="1354" spans="1:8" s="55" customFormat="1" ht="57" hidden="1" customHeight="1" x14ac:dyDescent="0.25">
      <c r="A1354" s="354">
        <v>1</v>
      </c>
      <c r="B1354" s="131" t="e">
        <f t="shared" si="37"/>
        <v>#REF!</v>
      </c>
      <c r="C1354" s="15" t="s">
        <v>420</v>
      </c>
      <c r="D1354" s="12"/>
      <c r="E1354" s="568">
        <v>1092</v>
      </c>
      <c r="F1354" s="54"/>
      <c r="G1354" s="54"/>
      <c r="H1354" s="54"/>
    </row>
    <row r="1355" spans="1:8" s="55" customFormat="1" ht="47.25" hidden="1" customHeight="1" x14ac:dyDescent="0.25">
      <c r="A1355" s="354">
        <v>1</v>
      </c>
      <c r="B1355" s="131" t="e">
        <f t="shared" si="37"/>
        <v>#REF!</v>
      </c>
      <c r="C1355" s="58" t="s">
        <v>333</v>
      </c>
      <c r="D1355" s="59"/>
      <c r="E1355" s="508">
        <f>E1356+E1363</f>
        <v>1382</v>
      </c>
      <c r="F1355" s="54"/>
      <c r="G1355" s="54"/>
      <c r="H1355" s="54"/>
    </row>
    <row r="1356" spans="1:8" s="55" customFormat="1" ht="30" hidden="1" customHeight="1" x14ac:dyDescent="0.25">
      <c r="A1356" s="354">
        <v>1</v>
      </c>
      <c r="B1356" s="131" t="e">
        <f t="shared" si="37"/>
        <v>#REF!</v>
      </c>
      <c r="C1356" s="16" t="s">
        <v>193</v>
      </c>
      <c r="D1356" s="59"/>
      <c r="E1356" s="53">
        <f>SUM(E1357:E1362)-E1360</f>
        <v>1069</v>
      </c>
      <c r="F1356" s="54"/>
      <c r="G1356" s="54"/>
      <c r="H1356" s="54"/>
    </row>
    <row r="1357" spans="1:8" s="55" customFormat="1" ht="30" hidden="1" customHeight="1" x14ac:dyDescent="0.25">
      <c r="A1357" s="354">
        <v>1</v>
      </c>
      <c r="B1357" s="131" t="e">
        <f t="shared" si="37"/>
        <v>#REF!</v>
      </c>
      <c r="C1357" s="15" t="s">
        <v>334</v>
      </c>
      <c r="D1357" s="59"/>
      <c r="E1357" s="53">
        <v>864</v>
      </c>
      <c r="F1357" s="54"/>
      <c r="G1357" s="54"/>
      <c r="H1357" s="54"/>
    </row>
    <row r="1358" spans="1:8" s="55" customFormat="1" ht="45" hidden="1" customHeight="1" x14ac:dyDescent="0.25">
      <c r="A1358" s="354">
        <v>1</v>
      </c>
      <c r="B1358" s="131" t="e">
        <f t="shared" si="37"/>
        <v>#REF!</v>
      </c>
      <c r="C1358" s="15" t="s">
        <v>335</v>
      </c>
      <c r="D1358" s="59"/>
      <c r="E1358" s="502"/>
      <c r="F1358" s="54"/>
      <c r="G1358" s="54"/>
      <c r="H1358" s="54"/>
    </row>
    <row r="1359" spans="1:8" s="55" customFormat="1" ht="30" hidden="1" customHeight="1" x14ac:dyDescent="0.25">
      <c r="A1359" s="354">
        <v>1</v>
      </c>
      <c r="B1359" s="131" t="e">
        <f t="shared" si="37"/>
        <v>#REF!</v>
      </c>
      <c r="C1359" s="15" t="s">
        <v>380</v>
      </c>
      <c r="D1359" s="86"/>
      <c r="E1359" s="502">
        <v>205</v>
      </c>
      <c r="F1359" s="71"/>
      <c r="G1359" s="71"/>
      <c r="H1359" s="71"/>
    </row>
    <row r="1360" spans="1:8" s="55" customFormat="1" ht="30" hidden="1" customHeight="1" x14ac:dyDescent="0.25">
      <c r="A1360" s="354">
        <v>1</v>
      </c>
      <c r="B1360" s="131" t="e">
        <f t="shared" si="37"/>
        <v>#REF!</v>
      </c>
      <c r="C1360" s="15" t="s">
        <v>381</v>
      </c>
      <c r="D1360" s="86"/>
      <c r="E1360" s="502"/>
      <c r="F1360" s="71"/>
      <c r="G1360" s="71"/>
      <c r="H1360" s="71"/>
    </row>
    <row r="1361" spans="1:8" ht="30" hidden="1" customHeight="1" x14ac:dyDescent="0.25">
      <c r="A1361" s="354">
        <v>1</v>
      </c>
      <c r="B1361" s="131" t="e">
        <f t="shared" si="37"/>
        <v>#REF!</v>
      </c>
      <c r="C1361" s="15" t="s">
        <v>382</v>
      </c>
      <c r="D1361" s="380"/>
      <c r="E1361" s="53"/>
      <c r="F1361" s="2"/>
      <c r="G1361" s="2"/>
      <c r="H1361" s="2"/>
    </row>
    <row r="1362" spans="1:8" ht="30" hidden="1" customHeight="1" x14ac:dyDescent="0.25">
      <c r="A1362" s="354">
        <v>1</v>
      </c>
      <c r="B1362" s="131" t="e">
        <f t="shared" si="37"/>
        <v>#REF!</v>
      </c>
      <c r="C1362" s="15" t="s">
        <v>383</v>
      </c>
      <c r="D1362" s="380"/>
      <c r="E1362" s="53"/>
      <c r="F1362" s="2"/>
      <c r="G1362" s="2"/>
      <c r="H1362" s="2"/>
    </row>
    <row r="1363" spans="1:8" ht="30" hidden="1" customHeight="1" x14ac:dyDescent="0.25">
      <c r="A1363" s="354">
        <v>1</v>
      </c>
      <c r="B1363" s="131" t="e">
        <f t="shared" si="37"/>
        <v>#REF!</v>
      </c>
      <c r="C1363" s="16" t="s">
        <v>194</v>
      </c>
      <c r="D1363" s="380"/>
      <c r="E1363" s="559">
        <f>SUM(E1364:E1366)</f>
        <v>313</v>
      </c>
      <c r="F1363" s="2"/>
      <c r="G1363" s="2"/>
      <c r="H1363" s="2"/>
    </row>
    <row r="1364" spans="1:8" s="55" customFormat="1" ht="30" hidden="1" customHeight="1" x14ac:dyDescent="0.25">
      <c r="A1364" s="354">
        <v>1</v>
      </c>
      <c r="B1364" s="131" t="e">
        <f t="shared" si="37"/>
        <v>#REF!</v>
      </c>
      <c r="C1364" s="15" t="s">
        <v>384</v>
      </c>
      <c r="D1364" s="277"/>
      <c r="E1364" s="53">
        <v>228</v>
      </c>
      <c r="F1364" s="54"/>
      <c r="G1364" s="54"/>
      <c r="H1364" s="54"/>
    </row>
    <row r="1365" spans="1:8" s="55" customFormat="1" ht="45" hidden="1" customHeight="1" x14ac:dyDescent="0.25">
      <c r="A1365" s="354">
        <v>1</v>
      </c>
      <c r="B1365" s="131" t="e">
        <f t="shared" si="37"/>
        <v>#REF!</v>
      </c>
      <c r="C1365" s="15" t="s">
        <v>385</v>
      </c>
      <c r="D1365" s="61"/>
      <c r="E1365" s="60">
        <v>50</v>
      </c>
      <c r="F1365" s="62"/>
      <c r="G1365" s="62"/>
      <c r="H1365" s="43"/>
    </row>
    <row r="1366" spans="1:8" s="55" customFormat="1" ht="45" hidden="1" customHeight="1" x14ac:dyDescent="0.25">
      <c r="A1366" s="354">
        <v>1</v>
      </c>
      <c r="B1366" s="131" t="e">
        <f t="shared" si="37"/>
        <v>#REF!</v>
      </c>
      <c r="C1366" s="15" t="s">
        <v>386</v>
      </c>
      <c r="D1366" s="13"/>
      <c r="E1366" s="53">
        <v>35</v>
      </c>
      <c r="F1366" s="62"/>
      <c r="G1366" s="62"/>
      <c r="H1366" s="43"/>
    </row>
    <row r="1367" spans="1:8" s="55" customFormat="1" ht="15.75" hidden="1" customHeight="1" x14ac:dyDescent="0.25">
      <c r="A1367" s="354">
        <v>1</v>
      </c>
      <c r="B1367" s="131" t="e">
        <f t="shared" si="37"/>
        <v>#REF!</v>
      </c>
      <c r="C1367" s="14" t="s">
        <v>251</v>
      </c>
      <c r="D1367" s="13"/>
      <c r="E1367" s="508">
        <f>E1368+E1369+E1373+E1374+E1375+E1376</f>
        <v>371.5</v>
      </c>
      <c r="F1367" s="62"/>
      <c r="G1367" s="62"/>
      <c r="H1367" s="43"/>
    </row>
    <row r="1368" spans="1:8" s="55" customFormat="1" ht="15.75" hidden="1" customHeight="1" x14ac:dyDescent="0.25">
      <c r="A1368" s="354">
        <v>1</v>
      </c>
      <c r="B1368" s="131" t="e">
        <f t="shared" si="37"/>
        <v>#REF!</v>
      </c>
      <c r="C1368" s="15" t="s">
        <v>252</v>
      </c>
      <c r="D1368" s="13"/>
      <c r="E1368" s="53"/>
      <c r="F1368" s="62"/>
      <c r="G1368" s="62"/>
      <c r="H1368" s="43"/>
    </row>
    <row r="1369" spans="1:8" s="55" customFormat="1" ht="30" hidden="1" customHeight="1" x14ac:dyDescent="0.25">
      <c r="A1369" s="354">
        <v>1</v>
      </c>
      <c r="B1369" s="131" t="e">
        <f t="shared" si="37"/>
        <v>#REF!</v>
      </c>
      <c r="C1369" s="16" t="s">
        <v>388</v>
      </c>
      <c r="D1369" s="13"/>
      <c r="E1369" s="53">
        <f>E1370+E1371/4</f>
        <v>12.5</v>
      </c>
      <c r="F1369" s="62"/>
      <c r="G1369" s="62"/>
      <c r="H1369" s="43"/>
    </row>
    <row r="1370" spans="1:8" s="145" customFormat="1" ht="15.75" hidden="1" customHeight="1" x14ac:dyDescent="0.25">
      <c r="A1370" s="354">
        <v>1</v>
      </c>
      <c r="B1370" s="131" t="e">
        <f t="shared" si="37"/>
        <v>#REF!</v>
      </c>
      <c r="C1370" s="15" t="s">
        <v>389</v>
      </c>
      <c r="D1370" s="13"/>
      <c r="E1370" s="17"/>
      <c r="F1370" s="10"/>
      <c r="G1370" s="10"/>
      <c r="H1370" s="10"/>
    </row>
    <row r="1371" spans="1:8" s="55" customFormat="1" ht="30" hidden="1" customHeight="1" x14ac:dyDescent="0.25">
      <c r="A1371" s="354">
        <v>1</v>
      </c>
      <c r="B1371" s="131" t="e">
        <f t="shared" si="37"/>
        <v>#REF!</v>
      </c>
      <c r="C1371" s="15" t="s">
        <v>390</v>
      </c>
      <c r="D1371" s="13"/>
      <c r="E1371" s="60">
        <v>50</v>
      </c>
      <c r="F1371" s="62"/>
      <c r="G1371" s="62"/>
      <c r="H1371" s="43"/>
    </row>
    <row r="1372" spans="1:8" s="55" customFormat="1" ht="45" hidden="1" customHeight="1" x14ac:dyDescent="0.25">
      <c r="A1372" s="354">
        <v>1</v>
      </c>
      <c r="B1372" s="131" t="e">
        <f t="shared" si="37"/>
        <v>#REF!</v>
      </c>
      <c r="C1372" s="15" t="s">
        <v>391</v>
      </c>
      <c r="D1372" s="13"/>
      <c r="E1372" s="60"/>
      <c r="F1372" s="62"/>
      <c r="G1372" s="62"/>
      <c r="H1372" s="43"/>
    </row>
    <row r="1373" spans="1:8" s="55" customFormat="1" ht="45" hidden="1" customHeight="1" x14ac:dyDescent="0.25">
      <c r="A1373" s="354">
        <v>1</v>
      </c>
      <c r="B1373" s="131" t="e">
        <f t="shared" si="37"/>
        <v>#REF!</v>
      </c>
      <c r="C1373" s="15" t="s">
        <v>392</v>
      </c>
      <c r="D1373" s="13"/>
      <c r="E1373" s="60"/>
      <c r="F1373" s="62"/>
      <c r="G1373" s="62"/>
      <c r="H1373" s="43"/>
    </row>
    <row r="1374" spans="1:8" s="55" customFormat="1" ht="45" hidden="1" customHeight="1" x14ac:dyDescent="0.25">
      <c r="A1374" s="354">
        <v>1</v>
      </c>
      <c r="B1374" s="131" t="e">
        <f t="shared" si="37"/>
        <v>#REF!</v>
      </c>
      <c r="C1374" s="18" t="s">
        <v>393</v>
      </c>
      <c r="D1374" s="13"/>
      <c r="E1374" s="68"/>
      <c r="F1374" s="62"/>
      <c r="G1374" s="62"/>
      <c r="H1374" s="43"/>
    </row>
    <row r="1375" spans="1:8" s="55" customFormat="1" ht="75" hidden="1" customHeight="1" x14ac:dyDescent="0.25">
      <c r="A1375" s="354">
        <v>1</v>
      </c>
      <c r="B1375" s="131" t="e">
        <f t="shared" si="37"/>
        <v>#REF!</v>
      </c>
      <c r="C1375" s="18" t="s">
        <v>394</v>
      </c>
      <c r="D1375" s="13"/>
      <c r="E1375" s="53">
        <v>100</v>
      </c>
      <c r="F1375" s="62"/>
      <c r="G1375" s="62"/>
      <c r="H1375" s="43"/>
    </row>
    <row r="1376" spans="1:8" s="55" customFormat="1" ht="30" hidden="1" customHeight="1" x14ac:dyDescent="0.25">
      <c r="A1376" s="354">
        <v>1</v>
      </c>
      <c r="B1376" s="131" t="e">
        <f t="shared" si="37"/>
        <v>#REF!</v>
      </c>
      <c r="C1376" s="15" t="s">
        <v>395</v>
      </c>
      <c r="D1376" s="13"/>
      <c r="E1376" s="53">
        <v>259</v>
      </c>
      <c r="F1376" s="62"/>
      <c r="G1376" s="62"/>
      <c r="H1376" s="43"/>
    </row>
    <row r="1377" spans="1:8" s="55" customFormat="1" ht="15.75" hidden="1" customHeight="1" x14ac:dyDescent="0.25">
      <c r="A1377" s="354">
        <v>1</v>
      </c>
      <c r="B1377" s="131" t="e">
        <f t="shared" si="37"/>
        <v>#REF!</v>
      </c>
      <c r="C1377" s="14" t="s">
        <v>253</v>
      </c>
      <c r="D1377" s="13"/>
      <c r="E1377" s="53">
        <f>E1378+E1379</f>
        <v>585.10638297872333</v>
      </c>
      <c r="F1377" s="62"/>
      <c r="G1377" s="62"/>
      <c r="H1377" s="43"/>
    </row>
    <row r="1378" spans="1:8" s="55" customFormat="1" ht="15.75" hidden="1" customHeight="1" x14ac:dyDescent="0.25">
      <c r="A1378" s="354">
        <v>1</v>
      </c>
      <c r="B1378" s="131" t="e">
        <f t="shared" si="37"/>
        <v>#REF!</v>
      </c>
      <c r="C1378" s="14" t="s">
        <v>254</v>
      </c>
      <c r="D1378" s="13"/>
      <c r="E1378" s="53"/>
      <c r="F1378" s="62"/>
      <c r="G1378" s="62"/>
      <c r="H1378" s="43"/>
    </row>
    <row r="1379" spans="1:8" s="55" customFormat="1" ht="15.75" hidden="1" customHeight="1" x14ac:dyDescent="0.25">
      <c r="A1379" s="354">
        <v>1</v>
      </c>
      <c r="B1379" s="131" t="e">
        <f t="shared" si="37"/>
        <v>#REF!</v>
      </c>
      <c r="C1379" s="15" t="s">
        <v>255</v>
      </c>
      <c r="D1379" s="13"/>
      <c r="E1379" s="550">
        <f>E1380/9.4</f>
        <v>585.10638297872333</v>
      </c>
      <c r="F1379" s="62"/>
      <c r="G1379" s="62"/>
      <c r="H1379" s="43"/>
    </row>
    <row r="1380" spans="1:8" s="55" customFormat="1" ht="15.75" hidden="1" customHeight="1" x14ac:dyDescent="0.25">
      <c r="A1380" s="354">
        <v>1</v>
      </c>
      <c r="B1380" s="131" t="e">
        <f t="shared" si="37"/>
        <v>#REF!</v>
      </c>
      <c r="C1380" s="42" t="s">
        <v>261</v>
      </c>
      <c r="D1380" s="13"/>
      <c r="E1380" s="550">
        <v>5500</v>
      </c>
      <c r="F1380" s="62"/>
      <c r="G1380" s="62"/>
      <c r="H1380" s="43"/>
    </row>
    <row r="1381" spans="1:8" s="55" customFormat="1" ht="29.25" hidden="1" customHeight="1" x14ac:dyDescent="0.25">
      <c r="A1381" s="354">
        <v>1</v>
      </c>
      <c r="B1381" s="131" t="e">
        <f t="shared" si="37"/>
        <v>#REF!</v>
      </c>
      <c r="C1381" s="14" t="s">
        <v>256</v>
      </c>
      <c r="D1381" s="13"/>
      <c r="E1381" s="544">
        <v>200</v>
      </c>
      <c r="F1381" s="62"/>
      <c r="G1381" s="62"/>
      <c r="H1381" s="43"/>
    </row>
    <row r="1382" spans="1:8" s="55" customFormat="1" ht="15.75" hidden="1" customHeight="1" x14ac:dyDescent="0.25">
      <c r="A1382" s="354">
        <v>1</v>
      </c>
      <c r="B1382" s="131" t="e">
        <f t="shared" si="37"/>
        <v>#REF!</v>
      </c>
      <c r="C1382" s="19" t="s">
        <v>117</v>
      </c>
      <c r="D1382" s="13"/>
      <c r="E1382" s="550"/>
      <c r="F1382" s="62"/>
      <c r="G1382" s="62"/>
      <c r="H1382" s="43"/>
    </row>
    <row r="1383" spans="1:8" s="55" customFormat="1" ht="57.75" hidden="1" customHeight="1" x14ac:dyDescent="0.25">
      <c r="A1383" s="354">
        <v>1</v>
      </c>
      <c r="B1383" s="131" t="e">
        <f t="shared" si="37"/>
        <v>#REF!</v>
      </c>
      <c r="C1383" s="21" t="s">
        <v>259</v>
      </c>
      <c r="D1383" s="13"/>
      <c r="E1383" s="53"/>
      <c r="F1383" s="62"/>
      <c r="G1383" s="62"/>
      <c r="H1383" s="43"/>
    </row>
    <row r="1384" spans="1:8" s="55" customFormat="1" ht="15.75" hidden="1" customHeight="1" x14ac:dyDescent="0.25">
      <c r="A1384" s="354">
        <v>1</v>
      </c>
      <c r="B1384" s="131" t="e">
        <f t="shared" si="37"/>
        <v>#REF!</v>
      </c>
      <c r="C1384" s="20" t="s">
        <v>165</v>
      </c>
      <c r="D1384" s="13"/>
      <c r="E1384" s="508">
        <f>E1385+E1386</f>
        <v>800</v>
      </c>
      <c r="F1384" s="62"/>
      <c r="G1384" s="62"/>
      <c r="H1384" s="43"/>
    </row>
    <row r="1385" spans="1:8" s="55" customFormat="1" ht="30" hidden="1" customHeight="1" x14ac:dyDescent="0.25">
      <c r="A1385" s="354">
        <v>1</v>
      </c>
      <c r="B1385" s="131" t="e">
        <f t="shared" si="37"/>
        <v>#REF!</v>
      </c>
      <c r="C1385" s="35" t="s">
        <v>205</v>
      </c>
      <c r="D1385" s="13"/>
      <c r="E1385" s="53">
        <v>400</v>
      </c>
      <c r="F1385" s="62"/>
      <c r="G1385" s="62"/>
      <c r="H1385" s="43"/>
    </row>
    <row r="1386" spans="1:8" s="55" customFormat="1" ht="30" hidden="1" customHeight="1" x14ac:dyDescent="0.25">
      <c r="A1386" s="354">
        <v>1</v>
      </c>
      <c r="B1386" s="131" t="e">
        <f t="shared" si="37"/>
        <v>#REF!</v>
      </c>
      <c r="C1386" s="35" t="s">
        <v>204</v>
      </c>
      <c r="D1386" s="59"/>
      <c r="E1386" s="60">
        <v>400</v>
      </c>
      <c r="F1386" s="62"/>
      <c r="G1386" s="62"/>
      <c r="H1386" s="43"/>
    </row>
    <row r="1387" spans="1:8" s="55" customFormat="1" ht="43.5" hidden="1" customHeight="1" x14ac:dyDescent="0.25">
      <c r="A1387" s="354">
        <v>1</v>
      </c>
      <c r="B1387" s="131" t="e">
        <f>#REF!+1</f>
        <v>#REF!</v>
      </c>
      <c r="C1387" s="21" t="s">
        <v>396</v>
      </c>
      <c r="D1387" s="59"/>
      <c r="E1387" s="527">
        <f>E1354</f>
        <v>1092</v>
      </c>
      <c r="F1387" s="62"/>
      <c r="G1387" s="62"/>
      <c r="H1387" s="43"/>
    </row>
    <row r="1388" spans="1:8" s="55" customFormat="1" ht="15.75" hidden="1" customHeight="1" x14ac:dyDescent="0.25">
      <c r="A1388" s="354">
        <v>1</v>
      </c>
      <c r="B1388" s="131" t="e">
        <f t="shared" si="37"/>
        <v>#REF!</v>
      </c>
      <c r="C1388" s="21" t="s">
        <v>195</v>
      </c>
      <c r="D1388" s="59"/>
      <c r="E1388" s="527">
        <f>E1367+E1343</f>
        <v>2171.5</v>
      </c>
      <c r="F1388" s="62"/>
      <c r="G1388" s="62"/>
      <c r="H1388" s="43"/>
    </row>
    <row r="1389" spans="1:8" ht="29.25" hidden="1" customHeight="1" x14ac:dyDescent="0.25">
      <c r="A1389" s="354">
        <v>1</v>
      </c>
      <c r="B1389" s="131" t="e">
        <f t="shared" si="37"/>
        <v>#REF!</v>
      </c>
      <c r="C1389" s="21" t="s">
        <v>196</v>
      </c>
      <c r="D1389" s="13"/>
      <c r="E1389" s="508">
        <f>E1355</f>
        <v>1382</v>
      </c>
      <c r="F1389" s="2"/>
      <c r="G1389" s="2"/>
      <c r="H1389" s="2"/>
    </row>
    <row r="1390" spans="1:8" s="55" customFormat="1" ht="15.75" hidden="1" customHeight="1" x14ac:dyDescent="0.25">
      <c r="A1390" s="354">
        <v>1</v>
      </c>
      <c r="B1390" s="131" t="e">
        <f t="shared" ref="B1390:B1454" si="38">B1389+1</f>
        <v>#REF!</v>
      </c>
      <c r="C1390" s="21" t="s">
        <v>197</v>
      </c>
      <c r="D1390" s="13"/>
      <c r="E1390" s="508">
        <f>E1377+E1349</f>
        <v>5676.1063829787236</v>
      </c>
      <c r="F1390" s="62"/>
      <c r="G1390" s="62"/>
      <c r="H1390" s="43"/>
    </row>
    <row r="1391" spans="1:8" s="55" customFormat="1" ht="29.25" hidden="1" customHeight="1" x14ac:dyDescent="0.25">
      <c r="A1391" s="354">
        <v>1</v>
      </c>
      <c r="B1391" s="131" t="e">
        <f t="shared" si="38"/>
        <v>#REF!</v>
      </c>
      <c r="C1391" s="21" t="s">
        <v>198</v>
      </c>
      <c r="D1391" s="13"/>
      <c r="E1391" s="508">
        <f>E1381</f>
        <v>200</v>
      </c>
      <c r="F1391" s="62"/>
      <c r="G1391" s="62"/>
      <c r="H1391" s="43"/>
    </row>
    <row r="1392" spans="1:8" s="55" customFormat="1" ht="15.75" hidden="1" customHeight="1" x14ac:dyDescent="0.25">
      <c r="A1392" s="354">
        <v>1</v>
      </c>
      <c r="B1392" s="131" t="e">
        <f t="shared" si="38"/>
        <v>#REF!</v>
      </c>
      <c r="C1392" s="22" t="s">
        <v>112</v>
      </c>
      <c r="D1392" s="13"/>
      <c r="E1392" s="508">
        <f>E1388+E1389+E1391+E1349*2.6+E1380/4.2+E1387*2.6</f>
        <v>21138.823809523808</v>
      </c>
      <c r="F1392" s="62"/>
      <c r="G1392" s="62"/>
      <c r="H1392" s="43"/>
    </row>
    <row r="1393" spans="1:8" ht="15.75" hidden="1" customHeight="1" x14ac:dyDescent="0.25">
      <c r="A1393" s="354">
        <v>1</v>
      </c>
      <c r="B1393" s="131" t="e">
        <f t="shared" si="38"/>
        <v>#REF!</v>
      </c>
      <c r="C1393" s="44" t="s">
        <v>7</v>
      </c>
      <c r="D1393" s="380"/>
      <c r="E1393" s="508"/>
      <c r="F1393" s="2"/>
      <c r="G1393" s="2"/>
      <c r="H1393" s="2"/>
    </row>
    <row r="1394" spans="1:8" ht="15.75" hidden="1" customHeight="1" x14ac:dyDescent="0.25">
      <c r="A1394" s="354">
        <v>1</v>
      </c>
      <c r="B1394" s="131" t="e">
        <f t="shared" si="38"/>
        <v>#REF!</v>
      </c>
      <c r="C1394" s="293" t="s">
        <v>71</v>
      </c>
      <c r="D1394" s="380"/>
      <c r="E1394" s="508"/>
      <c r="F1394" s="2"/>
      <c r="G1394" s="2"/>
      <c r="H1394" s="2"/>
    </row>
    <row r="1395" spans="1:8" ht="15.75" hidden="1" customHeight="1" x14ac:dyDescent="0.25">
      <c r="A1395" s="354">
        <v>1</v>
      </c>
      <c r="B1395" s="131" t="e">
        <f t="shared" si="38"/>
        <v>#REF!</v>
      </c>
      <c r="C1395" s="539" t="s">
        <v>55</v>
      </c>
      <c r="D1395" s="52">
        <v>240</v>
      </c>
      <c r="E1395" s="53">
        <v>155</v>
      </c>
      <c r="F1395" s="213">
        <v>8</v>
      </c>
      <c r="G1395" s="2">
        <f>H1395/D1395</f>
        <v>5.166666666666667</v>
      </c>
      <c r="H1395" s="2">
        <f>ROUND(E1395*F1395,0)</f>
        <v>1240</v>
      </c>
    </row>
    <row r="1396" spans="1:8" ht="15.75" hidden="1" customHeight="1" x14ac:dyDescent="0.25">
      <c r="A1396" s="354">
        <v>1</v>
      </c>
      <c r="B1396" s="131" t="e">
        <f t="shared" si="38"/>
        <v>#REF!</v>
      </c>
      <c r="C1396" s="539" t="s">
        <v>35</v>
      </c>
      <c r="D1396" s="52">
        <v>240</v>
      </c>
      <c r="E1396" s="53">
        <v>155</v>
      </c>
      <c r="F1396" s="213">
        <v>8</v>
      </c>
      <c r="G1396" s="2">
        <f>H1396/D1396</f>
        <v>5.166666666666667</v>
      </c>
      <c r="H1396" s="2">
        <f>ROUND(E1396*F1396,0)</f>
        <v>1240</v>
      </c>
    </row>
    <row r="1397" spans="1:8" ht="15.75" hidden="1" customHeight="1" x14ac:dyDescent="0.25">
      <c r="A1397" s="354">
        <v>1</v>
      </c>
      <c r="B1397" s="131" t="e">
        <f t="shared" si="38"/>
        <v>#REF!</v>
      </c>
      <c r="C1397" s="547" t="s">
        <v>94</v>
      </c>
      <c r="D1397" s="52"/>
      <c r="E1397" s="506">
        <f>SUM(E1395:E1396)</f>
        <v>310</v>
      </c>
      <c r="F1397" s="158">
        <f>H1397/E1397</f>
        <v>8</v>
      </c>
      <c r="G1397" s="31">
        <f>SUM(G1395:G1396)</f>
        <v>10.333333333333334</v>
      </c>
      <c r="H1397" s="31">
        <f>SUM(H1395:H1396)</f>
        <v>2480</v>
      </c>
    </row>
    <row r="1398" spans="1:8" ht="15.75" hidden="1" customHeight="1" x14ac:dyDescent="0.25">
      <c r="A1398" s="354">
        <v>1</v>
      </c>
      <c r="B1398" s="131" t="e">
        <f t="shared" si="38"/>
        <v>#REF!</v>
      </c>
      <c r="C1398" s="548" t="s">
        <v>88</v>
      </c>
      <c r="D1398" s="52"/>
      <c r="E1398" s="518">
        <f>E1397</f>
        <v>310</v>
      </c>
      <c r="F1398" s="158">
        <f>H1398/E1398</f>
        <v>8</v>
      </c>
      <c r="G1398" s="289">
        <f>G1397</f>
        <v>10.333333333333334</v>
      </c>
      <c r="H1398" s="289">
        <f>H1397</f>
        <v>2480</v>
      </c>
    </row>
    <row r="1399" spans="1:8" ht="16.5" hidden="1" customHeight="1" thickBot="1" x14ac:dyDescent="0.3">
      <c r="A1399" s="354">
        <v>1</v>
      </c>
      <c r="B1399" s="131" t="e">
        <f t="shared" si="38"/>
        <v>#REF!</v>
      </c>
      <c r="C1399" s="495" t="s">
        <v>213</v>
      </c>
      <c r="D1399" s="381"/>
      <c r="E1399" s="604"/>
      <c r="F1399" s="605"/>
      <c r="G1399" s="605"/>
      <c r="H1399" s="605"/>
    </row>
    <row r="1400" spans="1:8" ht="43.5" hidden="1" customHeight="1" x14ac:dyDescent="0.25">
      <c r="A1400" s="354">
        <v>1</v>
      </c>
      <c r="B1400" s="131" t="e">
        <f t="shared" si="38"/>
        <v>#REF!</v>
      </c>
      <c r="C1400" s="124" t="s">
        <v>372</v>
      </c>
      <c r="D1400" s="186"/>
      <c r="E1400" s="53"/>
      <c r="F1400" s="2"/>
      <c r="G1400" s="2"/>
      <c r="H1400" s="2"/>
    </row>
    <row r="1401" spans="1:8" ht="15.75" hidden="1" customHeight="1" x14ac:dyDescent="0.25">
      <c r="A1401" s="354">
        <v>1</v>
      </c>
      <c r="B1401" s="131" t="e">
        <f t="shared" si="38"/>
        <v>#REF!</v>
      </c>
      <c r="C1401" s="499" t="s">
        <v>4</v>
      </c>
      <c r="D1401" s="229"/>
      <c r="E1401" s="53"/>
      <c r="F1401" s="2"/>
      <c r="G1401" s="2"/>
      <c r="H1401" s="2"/>
    </row>
    <row r="1402" spans="1:8" ht="15.75" hidden="1" customHeight="1" x14ac:dyDescent="0.25">
      <c r="A1402" s="354">
        <v>1</v>
      </c>
      <c r="B1402" s="131" t="e">
        <f t="shared" si="38"/>
        <v>#REF!</v>
      </c>
      <c r="C1402" s="500" t="s">
        <v>55</v>
      </c>
      <c r="D1402" s="382">
        <v>340</v>
      </c>
      <c r="E1402" s="536"/>
      <c r="F1402" s="47">
        <v>12</v>
      </c>
      <c r="G1402" s="2">
        <f>ROUND(H1402/D1402,0)</f>
        <v>0</v>
      </c>
      <c r="H1402" s="2">
        <f>ROUND(E1402*F1402,0)</f>
        <v>0</v>
      </c>
    </row>
    <row r="1403" spans="1:8" ht="15.75" hidden="1" customHeight="1" x14ac:dyDescent="0.25">
      <c r="A1403" s="354">
        <v>1</v>
      </c>
      <c r="B1403" s="131" t="e">
        <f t="shared" si="38"/>
        <v>#REF!</v>
      </c>
      <c r="C1403" s="500" t="s">
        <v>19</v>
      </c>
      <c r="D1403" s="382">
        <v>340</v>
      </c>
      <c r="E1403" s="536"/>
      <c r="F1403" s="47">
        <v>12</v>
      </c>
      <c r="G1403" s="2">
        <f>ROUND(H1403/D1403,0)</f>
        <v>0</v>
      </c>
      <c r="H1403" s="2">
        <f>ROUND(E1403*F1403,0)</f>
        <v>0</v>
      </c>
    </row>
    <row r="1404" spans="1:8" ht="15.75" hidden="1" customHeight="1" x14ac:dyDescent="0.25">
      <c r="A1404" s="354">
        <v>1</v>
      </c>
      <c r="B1404" s="131" t="e">
        <f t="shared" si="38"/>
        <v>#REF!</v>
      </c>
      <c r="C1404" s="500" t="s">
        <v>56</v>
      </c>
      <c r="D1404" s="382">
        <v>340</v>
      </c>
      <c r="E1404" s="536"/>
      <c r="F1404" s="47">
        <v>13</v>
      </c>
      <c r="G1404" s="2">
        <f>ROUND(H1404/D1404,0)</f>
        <v>0</v>
      </c>
      <c r="H1404" s="2">
        <f>ROUND(E1404*F1404,0)</f>
        <v>0</v>
      </c>
    </row>
    <row r="1405" spans="1:8" ht="15.75" hidden="1" customHeight="1" x14ac:dyDescent="0.25">
      <c r="A1405" s="354">
        <v>1</v>
      </c>
      <c r="B1405" s="131" t="e">
        <f t="shared" si="38"/>
        <v>#REF!</v>
      </c>
      <c r="C1405" s="500" t="s">
        <v>10</v>
      </c>
      <c r="D1405" s="382">
        <v>340</v>
      </c>
      <c r="E1405" s="536"/>
      <c r="F1405" s="538">
        <v>9</v>
      </c>
      <c r="G1405" s="2">
        <f>ROUND(H1405/D1405,0)</f>
        <v>0</v>
      </c>
      <c r="H1405" s="2">
        <f>ROUND(E1405*F1405,0)</f>
        <v>0</v>
      </c>
    </row>
    <row r="1406" spans="1:8" ht="15.75" hidden="1" customHeight="1" x14ac:dyDescent="0.25">
      <c r="A1406" s="354">
        <v>1</v>
      </c>
      <c r="B1406" s="131" t="e">
        <f t="shared" si="38"/>
        <v>#REF!</v>
      </c>
      <c r="C1406" s="606" t="s">
        <v>5</v>
      </c>
      <c r="D1406" s="79">
        <v>340</v>
      </c>
      <c r="E1406" s="607">
        <f>SUM(E1402:E1405)</f>
        <v>0</v>
      </c>
      <c r="F1406" s="158"/>
      <c r="G1406" s="79">
        <f>G1402+G1403+G1404+G1405</f>
        <v>0</v>
      </c>
      <c r="H1406" s="79">
        <f>H1402+H1403+H1404+H1405</f>
        <v>0</v>
      </c>
    </row>
    <row r="1407" spans="1:8" s="55" customFormat="1" ht="60" hidden="1" customHeight="1" x14ac:dyDescent="0.25">
      <c r="A1407" s="354">
        <v>1</v>
      </c>
      <c r="B1407" s="131" t="e">
        <f t="shared" si="38"/>
        <v>#REF!</v>
      </c>
      <c r="C1407" s="128" t="s">
        <v>250</v>
      </c>
      <c r="D1407" s="12"/>
      <c r="E1407" s="512"/>
      <c r="F1407" s="54"/>
      <c r="G1407" s="54"/>
      <c r="H1407" s="54"/>
    </row>
    <row r="1408" spans="1:8" s="55" customFormat="1" ht="15.75" hidden="1" customHeight="1" x14ac:dyDescent="0.25">
      <c r="A1408" s="354">
        <v>1</v>
      </c>
      <c r="B1408" s="131" t="e">
        <f t="shared" si="38"/>
        <v>#REF!</v>
      </c>
      <c r="C1408" s="14" t="s">
        <v>192</v>
      </c>
      <c r="D1408" s="12"/>
      <c r="E1408" s="512">
        <f>E1410+E1412+E1413</f>
        <v>13300</v>
      </c>
      <c r="F1408" s="54"/>
      <c r="G1408" s="54"/>
      <c r="H1408" s="54"/>
    </row>
    <row r="1409" spans="1:8" s="55" customFormat="1" ht="15.75" hidden="1" customHeight="1" x14ac:dyDescent="0.25">
      <c r="A1409" s="354">
        <v>1</v>
      </c>
      <c r="B1409" s="131" t="e">
        <f t="shared" si="38"/>
        <v>#REF!</v>
      </c>
      <c r="C1409" s="18" t="s">
        <v>116</v>
      </c>
      <c r="D1409" s="12"/>
      <c r="E1409" s="512"/>
      <c r="F1409" s="54"/>
      <c r="G1409" s="54"/>
      <c r="H1409" s="54"/>
    </row>
    <row r="1410" spans="1:8" s="55" customFormat="1" ht="30" hidden="1" customHeight="1" x14ac:dyDescent="0.25">
      <c r="A1410" s="354">
        <v>1</v>
      </c>
      <c r="B1410" s="131" t="e">
        <f t="shared" si="38"/>
        <v>#REF!</v>
      </c>
      <c r="C1410" s="15" t="s">
        <v>397</v>
      </c>
      <c r="D1410" s="12"/>
      <c r="E1410" s="56">
        <v>5500</v>
      </c>
      <c r="F1410" s="54"/>
      <c r="G1410" s="54"/>
      <c r="H1410" s="54"/>
    </row>
    <row r="1411" spans="1:8" s="55" customFormat="1" ht="45" hidden="1" customHeight="1" x14ac:dyDescent="0.25">
      <c r="A1411" s="354">
        <v>1</v>
      </c>
      <c r="B1411" s="131" t="e">
        <f t="shared" si="38"/>
        <v>#REF!</v>
      </c>
      <c r="C1411" s="15" t="s">
        <v>398</v>
      </c>
      <c r="D1411" s="12"/>
      <c r="E1411" s="56"/>
      <c r="F1411" s="54"/>
      <c r="G1411" s="54"/>
      <c r="H1411" s="54"/>
    </row>
    <row r="1412" spans="1:8" s="55" customFormat="1" ht="45" hidden="1" customHeight="1" x14ac:dyDescent="0.25">
      <c r="A1412" s="354">
        <v>1</v>
      </c>
      <c r="B1412" s="131" t="e">
        <f t="shared" si="38"/>
        <v>#REF!</v>
      </c>
      <c r="C1412" s="15" t="s">
        <v>399</v>
      </c>
      <c r="D1412" s="12"/>
      <c r="E1412" s="56">
        <v>4300</v>
      </c>
      <c r="F1412" s="54"/>
      <c r="G1412" s="54"/>
      <c r="H1412" s="54"/>
    </row>
    <row r="1413" spans="1:8" s="55" customFormat="1" ht="75" hidden="1" customHeight="1" x14ac:dyDescent="0.25">
      <c r="A1413" s="354">
        <v>1</v>
      </c>
      <c r="B1413" s="131" t="e">
        <f t="shared" si="38"/>
        <v>#REF!</v>
      </c>
      <c r="C1413" s="15" t="s">
        <v>400</v>
      </c>
      <c r="D1413" s="12"/>
      <c r="E1413" s="56">
        <v>3500</v>
      </c>
      <c r="F1413" s="54"/>
      <c r="G1413" s="54"/>
      <c r="H1413" s="54"/>
    </row>
    <row r="1414" spans="1:8" s="55" customFormat="1" ht="15.75" hidden="1" customHeight="1" x14ac:dyDescent="0.25">
      <c r="A1414" s="354">
        <v>1</v>
      </c>
      <c r="B1414" s="131" t="e">
        <f t="shared" si="38"/>
        <v>#REF!</v>
      </c>
      <c r="C1414" s="57" t="s">
        <v>90</v>
      </c>
      <c r="D1414" s="12"/>
      <c r="E1414" s="512">
        <f>E1415+E1416+E1417</f>
        <v>5979</v>
      </c>
      <c r="F1414" s="54"/>
      <c r="G1414" s="54"/>
      <c r="H1414" s="54"/>
    </row>
    <row r="1415" spans="1:8" s="55" customFormat="1" ht="15.75" hidden="1" customHeight="1" x14ac:dyDescent="0.25">
      <c r="A1415" s="354">
        <v>1</v>
      </c>
      <c r="B1415" s="131" t="e">
        <f t="shared" si="38"/>
        <v>#REF!</v>
      </c>
      <c r="C1415" s="15" t="s">
        <v>145</v>
      </c>
      <c r="D1415" s="12"/>
      <c r="E1415" s="56">
        <v>5436</v>
      </c>
      <c r="F1415" s="54"/>
      <c r="G1415" s="54"/>
      <c r="H1415" s="54"/>
    </row>
    <row r="1416" spans="1:8" s="55" customFormat="1" ht="45" hidden="1" x14ac:dyDescent="0.25">
      <c r="A1416" s="354">
        <v>1</v>
      </c>
      <c r="B1416" s="131" t="e">
        <f t="shared" si="38"/>
        <v>#REF!</v>
      </c>
      <c r="C1416" s="15" t="s">
        <v>414</v>
      </c>
      <c r="D1416" s="12"/>
      <c r="E1416" s="56"/>
      <c r="F1416" s="54"/>
      <c r="G1416" s="54"/>
      <c r="H1416" s="54"/>
    </row>
    <row r="1417" spans="1:8" s="55" customFormat="1" ht="60" hidden="1" x14ac:dyDescent="0.25">
      <c r="A1417" s="354"/>
      <c r="B1417" s="131"/>
      <c r="C1417" s="15" t="s">
        <v>421</v>
      </c>
      <c r="D1417" s="12"/>
      <c r="E1417" s="56">
        <v>543</v>
      </c>
      <c r="F1417" s="54"/>
      <c r="G1417" s="54"/>
      <c r="H1417" s="54"/>
    </row>
    <row r="1418" spans="1:8" s="55" customFormat="1" ht="15.75" hidden="1" customHeight="1" x14ac:dyDescent="0.25">
      <c r="A1418" s="354">
        <v>1</v>
      </c>
      <c r="B1418" s="131" t="e">
        <f>B1416+1</f>
        <v>#REF!</v>
      </c>
      <c r="C1418" s="33" t="s">
        <v>98</v>
      </c>
      <c r="D1418" s="12"/>
      <c r="E1418" s="56"/>
      <c r="F1418" s="54"/>
      <c r="G1418" s="54"/>
      <c r="H1418" s="54"/>
    </row>
    <row r="1419" spans="1:8" s="55" customFormat="1" ht="45" hidden="1" customHeight="1" x14ac:dyDescent="0.25">
      <c r="A1419" s="354">
        <v>1</v>
      </c>
      <c r="B1419" s="131" t="e">
        <f t="shared" si="38"/>
        <v>#REF!</v>
      </c>
      <c r="C1419" s="15" t="s">
        <v>420</v>
      </c>
      <c r="D1419" s="12"/>
      <c r="E1419" s="56">
        <v>2714</v>
      </c>
      <c r="F1419" s="54"/>
      <c r="G1419" s="54"/>
      <c r="H1419" s="54"/>
    </row>
    <row r="1420" spans="1:8" s="55" customFormat="1" ht="47.25" hidden="1" customHeight="1" x14ac:dyDescent="0.25">
      <c r="A1420" s="354">
        <v>1</v>
      </c>
      <c r="B1420" s="131" t="e">
        <f t="shared" si="38"/>
        <v>#REF!</v>
      </c>
      <c r="C1420" s="58" t="s">
        <v>333</v>
      </c>
      <c r="D1420" s="12"/>
      <c r="E1420" s="512">
        <f>E1421+E1428</f>
        <v>4101</v>
      </c>
      <c r="F1420" s="54"/>
      <c r="G1420" s="54"/>
      <c r="H1420" s="54"/>
    </row>
    <row r="1421" spans="1:8" s="55" customFormat="1" ht="30" hidden="1" customHeight="1" x14ac:dyDescent="0.25">
      <c r="A1421" s="354">
        <v>1</v>
      </c>
      <c r="B1421" s="131" t="e">
        <f t="shared" si="38"/>
        <v>#REF!</v>
      </c>
      <c r="C1421" s="16" t="s">
        <v>193</v>
      </c>
      <c r="D1421" s="59"/>
      <c r="E1421" s="60">
        <f>SUM(E1422:E1427)-E1425</f>
        <v>3357</v>
      </c>
      <c r="F1421" s="54"/>
      <c r="G1421" s="54"/>
      <c r="H1421" s="54"/>
    </row>
    <row r="1422" spans="1:8" s="55" customFormat="1" ht="30" hidden="1" customHeight="1" x14ac:dyDescent="0.25">
      <c r="A1422" s="354">
        <v>1</v>
      </c>
      <c r="B1422" s="131" t="e">
        <f t="shared" si="38"/>
        <v>#REF!</v>
      </c>
      <c r="C1422" s="15" t="s">
        <v>334</v>
      </c>
      <c r="D1422" s="24"/>
      <c r="E1422" s="53">
        <v>2828</v>
      </c>
      <c r="F1422" s="24"/>
      <c r="G1422" s="24"/>
      <c r="H1422" s="24"/>
    </row>
    <row r="1423" spans="1:8" s="55" customFormat="1" ht="45" hidden="1" customHeight="1" x14ac:dyDescent="0.25">
      <c r="A1423" s="354">
        <v>1</v>
      </c>
      <c r="B1423" s="131" t="e">
        <f t="shared" si="38"/>
        <v>#REF!</v>
      </c>
      <c r="C1423" s="15" t="s">
        <v>335</v>
      </c>
      <c r="D1423" s="59"/>
      <c r="E1423" s="60"/>
      <c r="F1423" s="54"/>
      <c r="G1423" s="54"/>
      <c r="H1423" s="54"/>
    </row>
    <row r="1424" spans="1:8" s="55" customFormat="1" ht="30" hidden="1" customHeight="1" x14ac:dyDescent="0.25">
      <c r="A1424" s="354">
        <v>1</v>
      </c>
      <c r="B1424" s="131" t="e">
        <f t="shared" si="38"/>
        <v>#REF!</v>
      </c>
      <c r="C1424" s="15" t="s">
        <v>380</v>
      </c>
      <c r="D1424" s="59"/>
      <c r="E1424" s="68">
        <v>529</v>
      </c>
      <c r="F1424" s="54"/>
      <c r="G1424" s="54"/>
      <c r="H1424" s="54"/>
    </row>
    <row r="1425" spans="1:8" s="55" customFormat="1" ht="30" hidden="1" customHeight="1" x14ac:dyDescent="0.25">
      <c r="A1425" s="354">
        <v>1</v>
      </c>
      <c r="B1425" s="131" t="e">
        <f t="shared" si="38"/>
        <v>#REF!</v>
      </c>
      <c r="C1425" s="15" t="s">
        <v>381</v>
      </c>
      <c r="D1425" s="59"/>
      <c r="E1425" s="68"/>
      <c r="F1425" s="54"/>
      <c r="G1425" s="54"/>
      <c r="H1425" s="54"/>
    </row>
    <row r="1426" spans="1:8" s="55" customFormat="1" ht="30" hidden="1" customHeight="1" x14ac:dyDescent="0.25">
      <c r="A1426" s="354">
        <v>1</v>
      </c>
      <c r="B1426" s="131" t="e">
        <f t="shared" si="38"/>
        <v>#REF!</v>
      </c>
      <c r="C1426" s="15" t="s">
        <v>382</v>
      </c>
      <c r="D1426" s="59"/>
      <c r="E1426" s="53"/>
      <c r="F1426" s="54"/>
      <c r="G1426" s="54"/>
      <c r="H1426" s="54"/>
    </row>
    <row r="1427" spans="1:8" s="55" customFormat="1" ht="30" hidden="1" customHeight="1" x14ac:dyDescent="0.25">
      <c r="A1427" s="354">
        <v>1</v>
      </c>
      <c r="B1427" s="131" t="e">
        <f t="shared" si="38"/>
        <v>#REF!</v>
      </c>
      <c r="C1427" s="15" t="s">
        <v>383</v>
      </c>
      <c r="D1427" s="59"/>
      <c r="E1427" s="53"/>
      <c r="F1427" s="54"/>
      <c r="G1427" s="54"/>
      <c r="H1427" s="54"/>
    </row>
    <row r="1428" spans="1:8" s="55" customFormat="1" ht="30" hidden="1" customHeight="1" x14ac:dyDescent="0.25">
      <c r="A1428" s="354">
        <v>1</v>
      </c>
      <c r="B1428" s="131" t="e">
        <f t="shared" si="38"/>
        <v>#REF!</v>
      </c>
      <c r="C1428" s="16" t="s">
        <v>194</v>
      </c>
      <c r="D1428" s="59"/>
      <c r="E1428" s="508">
        <f>SUM(E1429:E1431)</f>
        <v>744</v>
      </c>
      <c r="F1428" s="54"/>
      <c r="G1428" s="54"/>
      <c r="H1428" s="54"/>
    </row>
    <row r="1429" spans="1:8" s="55" customFormat="1" ht="30" hidden="1" customHeight="1" x14ac:dyDescent="0.25">
      <c r="A1429" s="354">
        <v>1</v>
      </c>
      <c r="B1429" s="131" t="e">
        <f t="shared" si="38"/>
        <v>#REF!</v>
      </c>
      <c r="C1429" s="15" t="s">
        <v>384</v>
      </c>
      <c r="D1429" s="59"/>
      <c r="E1429" s="502">
        <v>744</v>
      </c>
      <c r="F1429" s="54"/>
      <c r="G1429" s="54"/>
      <c r="H1429" s="54"/>
    </row>
    <row r="1430" spans="1:8" ht="45" hidden="1" customHeight="1" x14ac:dyDescent="0.25">
      <c r="A1430" s="354">
        <v>1</v>
      </c>
      <c r="B1430" s="131" t="e">
        <f t="shared" si="38"/>
        <v>#REF!</v>
      </c>
      <c r="C1430" s="15" t="s">
        <v>385</v>
      </c>
      <c r="D1430" s="13"/>
      <c r="E1430" s="53"/>
      <c r="F1430" s="320"/>
      <c r="G1430" s="320"/>
      <c r="H1430" s="320"/>
    </row>
    <row r="1431" spans="1:8" ht="45" hidden="1" customHeight="1" x14ac:dyDescent="0.25">
      <c r="A1431" s="354">
        <v>1</v>
      </c>
      <c r="B1431" s="131" t="e">
        <f t="shared" si="38"/>
        <v>#REF!</v>
      </c>
      <c r="C1431" s="15" t="s">
        <v>386</v>
      </c>
      <c r="D1431" s="41"/>
      <c r="E1431" s="53"/>
      <c r="F1431" s="320"/>
      <c r="G1431" s="320"/>
      <c r="H1431" s="320"/>
    </row>
    <row r="1432" spans="1:8" ht="15.75" hidden="1" customHeight="1" x14ac:dyDescent="0.25">
      <c r="A1432" s="354">
        <v>1</v>
      </c>
      <c r="B1432" s="131" t="e">
        <f t="shared" si="38"/>
        <v>#REF!</v>
      </c>
      <c r="C1432" s="14" t="s">
        <v>251</v>
      </c>
      <c r="D1432" s="41"/>
      <c r="E1432" s="559">
        <f>E1433+E1434+E1438+E1439+E1440+E1441</f>
        <v>919.25</v>
      </c>
      <c r="F1432" s="320"/>
      <c r="G1432" s="320"/>
      <c r="H1432" s="320"/>
    </row>
    <row r="1433" spans="1:8" s="55" customFormat="1" ht="15.75" hidden="1" customHeight="1" x14ac:dyDescent="0.25">
      <c r="A1433" s="354">
        <v>1</v>
      </c>
      <c r="B1433" s="131" t="e">
        <f t="shared" si="38"/>
        <v>#REF!</v>
      </c>
      <c r="C1433" s="15" t="s">
        <v>252</v>
      </c>
      <c r="D1433" s="277"/>
      <c r="E1433" s="53"/>
      <c r="F1433" s="54"/>
      <c r="G1433" s="54"/>
      <c r="H1433" s="54"/>
    </row>
    <row r="1434" spans="1:8" s="55" customFormat="1" ht="30" hidden="1" customHeight="1" x14ac:dyDescent="0.25">
      <c r="A1434" s="354">
        <v>1</v>
      </c>
      <c r="B1434" s="131" t="e">
        <f t="shared" si="38"/>
        <v>#REF!</v>
      </c>
      <c r="C1434" s="16" t="s">
        <v>388</v>
      </c>
      <c r="D1434" s="61"/>
      <c r="E1434" s="60">
        <f>E1435+E1436/4</f>
        <v>61.25</v>
      </c>
      <c r="F1434" s="62"/>
      <c r="G1434" s="62"/>
      <c r="H1434" s="43"/>
    </row>
    <row r="1435" spans="1:8" s="145" customFormat="1" ht="15.75" hidden="1" customHeight="1" x14ac:dyDescent="0.25">
      <c r="A1435" s="354">
        <v>1</v>
      </c>
      <c r="B1435" s="131" t="e">
        <f t="shared" si="38"/>
        <v>#REF!</v>
      </c>
      <c r="C1435" s="15" t="s">
        <v>389</v>
      </c>
      <c r="D1435" s="13"/>
      <c r="E1435" s="13"/>
      <c r="F1435" s="10"/>
      <c r="G1435" s="10"/>
      <c r="H1435" s="10"/>
    </row>
    <row r="1436" spans="1:8" s="55" customFormat="1" ht="30" hidden="1" customHeight="1" x14ac:dyDescent="0.25">
      <c r="A1436" s="354">
        <v>1</v>
      </c>
      <c r="B1436" s="131" t="e">
        <f t="shared" si="38"/>
        <v>#REF!</v>
      </c>
      <c r="C1436" s="15" t="s">
        <v>390</v>
      </c>
      <c r="D1436" s="13"/>
      <c r="E1436" s="53">
        <v>245</v>
      </c>
      <c r="F1436" s="62"/>
      <c r="G1436" s="62"/>
      <c r="H1436" s="43"/>
    </row>
    <row r="1437" spans="1:8" s="55" customFormat="1" ht="45" hidden="1" customHeight="1" x14ac:dyDescent="0.25">
      <c r="A1437" s="354">
        <v>1</v>
      </c>
      <c r="B1437" s="131" t="e">
        <f t="shared" si="38"/>
        <v>#REF!</v>
      </c>
      <c r="C1437" s="15" t="s">
        <v>391</v>
      </c>
      <c r="D1437" s="13"/>
      <c r="E1437" s="53"/>
      <c r="F1437" s="62"/>
      <c r="G1437" s="62"/>
      <c r="H1437" s="43"/>
    </row>
    <row r="1438" spans="1:8" s="55" customFormat="1" ht="45" hidden="1" customHeight="1" x14ac:dyDescent="0.25">
      <c r="A1438" s="354">
        <v>1</v>
      </c>
      <c r="B1438" s="131" t="e">
        <f t="shared" si="38"/>
        <v>#REF!</v>
      </c>
      <c r="C1438" s="15" t="s">
        <v>392</v>
      </c>
      <c r="D1438" s="13"/>
      <c r="E1438" s="60"/>
      <c r="F1438" s="62"/>
      <c r="G1438" s="62"/>
      <c r="H1438" s="43"/>
    </row>
    <row r="1439" spans="1:8" s="55" customFormat="1" ht="45" hidden="1" customHeight="1" x14ac:dyDescent="0.25">
      <c r="A1439" s="354">
        <v>1</v>
      </c>
      <c r="B1439" s="131" t="e">
        <f t="shared" si="38"/>
        <v>#REF!</v>
      </c>
      <c r="C1439" s="18" t="s">
        <v>393</v>
      </c>
      <c r="D1439" s="13"/>
      <c r="E1439" s="60"/>
      <c r="F1439" s="62"/>
      <c r="G1439" s="62"/>
      <c r="H1439" s="43"/>
    </row>
    <row r="1440" spans="1:8" s="55" customFormat="1" ht="75" hidden="1" customHeight="1" x14ac:dyDescent="0.25">
      <c r="A1440" s="354">
        <v>1</v>
      </c>
      <c r="B1440" s="131" t="e">
        <f t="shared" si="38"/>
        <v>#REF!</v>
      </c>
      <c r="C1440" s="18" t="s">
        <v>394</v>
      </c>
      <c r="D1440" s="13"/>
      <c r="E1440" s="53">
        <v>10</v>
      </c>
      <c r="F1440" s="62"/>
      <c r="G1440" s="62"/>
      <c r="H1440" s="43"/>
    </row>
    <row r="1441" spans="1:8" s="55" customFormat="1" ht="30" hidden="1" customHeight="1" x14ac:dyDescent="0.25">
      <c r="A1441" s="354">
        <v>1</v>
      </c>
      <c r="B1441" s="131" t="e">
        <f t="shared" si="38"/>
        <v>#REF!</v>
      </c>
      <c r="C1441" s="18" t="s">
        <v>395</v>
      </c>
      <c r="D1441" s="13"/>
      <c r="E1441" s="53">
        <v>848</v>
      </c>
      <c r="F1441" s="62"/>
      <c r="G1441" s="62"/>
      <c r="H1441" s="43"/>
    </row>
    <row r="1442" spans="1:8" s="55" customFormat="1" ht="15.75" hidden="1" customHeight="1" x14ac:dyDescent="0.25">
      <c r="A1442" s="354">
        <v>1</v>
      </c>
      <c r="B1442" s="131" t="e">
        <f t="shared" si="38"/>
        <v>#REF!</v>
      </c>
      <c r="C1442" s="14" t="s">
        <v>253</v>
      </c>
      <c r="D1442" s="13"/>
      <c r="E1442" s="60">
        <f>E1443+E1444</f>
        <v>901.595744680851</v>
      </c>
      <c r="F1442" s="62"/>
      <c r="G1442" s="62"/>
      <c r="H1442" s="43"/>
    </row>
    <row r="1443" spans="1:8" s="55" customFormat="1" ht="15.75" hidden="1" customHeight="1" x14ac:dyDescent="0.25">
      <c r="A1443" s="354">
        <v>1</v>
      </c>
      <c r="B1443" s="131" t="e">
        <f t="shared" si="38"/>
        <v>#REF!</v>
      </c>
      <c r="C1443" s="14" t="s">
        <v>254</v>
      </c>
      <c r="D1443" s="13"/>
      <c r="E1443" s="60">
        <v>50</v>
      </c>
      <c r="F1443" s="62"/>
      <c r="G1443" s="62"/>
      <c r="H1443" s="43"/>
    </row>
    <row r="1444" spans="1:8" s="55" customFormat="1" ht="15.75" hidden="1" customHeight="1" x14ac:dyDescent="0.25">
      <c r="A1444" s="354">
        <v>1</v>
      </c>
      <c r="B1444" s="131" t="e">
        <f t="shared" si="38"/>
        <v>#REF!</v>
      </c>
      <c r="C1444" s="15" t="s">
        <v>255</v>
      </c>
      <c r="D1444" s="13"/>
      <c r="E1444" s="60">
        <f>E1445/9.4</f>
        <v>851.595744680851</v>
      </c>
      <c r="F1444" s="62"/>
      <c r="G1444" s="62"/>
      <c r="H1444" s="43"/>
    </row>
    <row r="1445" spans="1:8" s="55" customFormat="1" ht="15.75" hidden="1" customHeight="1" x14ac:dyDescent="0.25">
      <c r="A1445" s="354">
        <v>1</v>
      </c>
      <c r="B1445" s="131" t="e">
        <f t="shared" si="38"/>
        <v>#REF!</v>
      </c>
      <c r="C1445" s="42" t="s">
        <v>261</v>
      </c>
      <c r="D1445" s="13"/>
      <c r="E1445" s="68">
        <v>8005</v>
      </c>
      <c r="F1445" s="62"/>
      <c r="G1445" s="62"/>
      <c r="H1445" s="43"/>
    </row>
    <row r="1446" spans="1:8" s="55" customFormat="1" ht="29.25" hidden="1" customHeight="1" x14ac:dyDescent="0.25">
      <c r="A1446" s="354">
        <v>1</v>
      </c>
      <c r="B1446" s="131" t="e">
        <f t="shared" si="38"/>
        <v>#REF!</v>
      </c>
      <c r="C1446" s="14" t="s">
        <v>256</v>
      </c>
      <c r="D1446" s="13"/>
      <c r="E1446" s="53">
        <v>667</v>
      </c>
      <c r="F1446" s="62"/>
      <c r="G1446" s="62"/>
      <c r="H1446" s="43"/>
    </row>
    <row r="1447" spans="1:8" s="55" customFormat="1" ht="15.75" hidden="1" customHeight="1" x14ac:dyDescent="0.25">
      <c r="A1447" s="354">
        <v>1</v>
      </c>
      <c r="B1447" s="131" t="e">
        <f t="shared" si="38"/>
        <v>#REF!</v>
      </c>
      <c r="C1447" s="19" t="s">
        <v>117</v>
      </c>
      <c r="D1447" s="13"/>
      <c r="E1447" s="53"/>
      <c r="F1447" s="62"/>
      <c r="G1447" s="62"/>
      <c r="H1447" s="43"/>
    </row>
    <row r="1448" spans="1:8" s="55" customFormat="1" ht="57.75" hidden="1" customHeight="1" x14ac:dyDescent="0.25">
      <c r="A1448" s="354">
        <v>1</v>
      </c>
      <c r="B1448" s="131" t="e">
        <f t="shared" si="38"/>
        <v>#REF!</v>
      </c>
      <c r="C1448" s="21" t="s">
        <v>259</v>
      </c>
      <c r="D1448" s="13"/>
      <c r="E1448" s="550"/>
      <c r="F1448" s="62"/>
      <c r="G1448" s="62"/>
      <c r="H1448" s="43"/>
    </row>
    <row r="1449" spans="1:8" s="55" customFormat="1" ht="15.75" hidden="1" customHeight="1" x14ac:dyDescent="0.25">
      <c r="A1449" s="354">
        <v>1</v>
      </c>
      <c r="B1449" s="131" t="e">
        <f t="shared" si="38"/>
        <v>#REF!</v>
      </c>
      <c r="C1449" s="20" t="s">
        <v>165</v>
      </c>
      <c r="D1449" s="13"/>
      <c r="E1449" s="544">
        <f>E1450+E1451</f>
        <v>600</v>
      </c>
      <c r="F1449" s="62"/>
      <c r="G1449" s="62"/>
      <c r="H1449" s="43"/>
    </row>
    <row r="1450" spans="1:8" s="55" customFormat="1" ht="30" hidden="1" customHeight="1" x14ac:dyDescent="0.25">
      <c r="A1450" s="354">
        <v>1</v>
      </c>
      <c r="B1450" s="131" t="e">
        <f t="shared" si="38"/>
        <v>#REF!</v>
      </c>
      <c r="C1450" s="35" t="s">
        <v>205</v>
      </c>
      <c r="D1450" s="13"/>
      <c r="E1450" s="550">
        <v>300</v>
      </c>
      <c r="F1450" s="62"/>
      <c r="G1450" s="62"/>
      <c r="H1450" s="43"/>
    </row>
    <row r="1451" spans="1:8" s="55" customFormat="1" ht="30" hidden="1" customHeight="1" x14ac:dyDescent="0.25">
      <c r="A1451" s="354">
        <v>1</v>
      </c>
      <c r="B1451" s="131" t="e">
        <f t="shared" si="38"/>
        <v>#REF!</v>
      </c>
      <c r="C1451" s="35" t="s">
        <v>204</v>
      </c>
      <c r="D1451" s="13"/>
      <c r="E1451" s="550">
        <v>300</v>
      </c>
      <c r="F1451" s="62"/>
      <c r="G1451" s="62"/>
      <c r="H1451" s="43"/>
    </row>
    <row r="1452" spans="1:8" s="55" customFormat="1" ht="43.5" hidden="1" customHeight="1" x14ac:dyDescent="0.25">
      <c r="A1452" s="354">
        <v>1</v>
      </c>
      <c r="B1452" s="131" t="e">
        <f t="shared" si="38"/>
        <v>#REF!</v>
      </c>
      <c r="C1452" s="21" t="s">
        <v>396</v>
      </c>
      <c r="D1452" s="13"/>
      <c r="E1452" s="480">
        <f>E1419</f>
        <v>2714</v>
      </c>
      <c r="F1452" s="62"/>
      <c r="G1452" s="62"/>
      <c r="H1452" s="43"/>
    </row>
    <row r="1453" spans="1:8" s="55" customFormat="1" ht="15.75" hidden="1" customHeight="1" x14ac:dyDescent="0.25">
      <c r="A1453" s="354">
        <v>1</v>
      </c>
      <c r="B1453" s="131" t="e">
        <f t="shared" si="38"/>
        <v>#REF!</v>
      </c>
      <c r="C1453" s="21" t="s">
        <v>195</v>
      </c>
      <c r="D1453" s="13"/>
      <c r="E1453" s="508">
        <f>E1408+E1432</f>
        <v>14219.25</v>
      </c>
      <c r="F1453" s="62"/>
      <c r="G1453" s="62"/>
      <c r="H1453" s="43"/>
    </row>
    <row r="1454" spans="1:8" s="55" customFormat="1" ht="29.25" hidden="1" customHeight="1" x14ac:dyDescent="0.25">
      <c r="A1454" s="354">
        <v>1</v>
      </c>
      <c r="B1454" s="131" t="e">
        <f t="shared" si="38"/>
        <v>#REF!</v>
      </c>
      <c r="C1454" s="21" t="s">
        <v>196</v>
      </c>
      <c r="D1454" s="13"/>
      <c r="E1454" s="508">
        <f>E1420</f>
        <v>4101</v>
      </c>
      <c r="F1454" s="62"/>
      <c r="G1454" s="62"/>
      <c r="H1454" s="43"/>
    </row>
    <row r="1455" spans="1:8" s="55" customFormat="1" ht="15.75" hidden="1" customHeight="1" x14ac:dyDescent="0.25">
      <c r="A1455" s="354">
        <v>1</v>
      </c>
      <c r="B1455" s="131" t="e">
        <f t="shared" ref="B1455:B1518" si="39">B1454+1</f>
        <v>#REF!</v>
      </c>
      <c r="C1455" s="21" t="s">
        <v>197</v>
      </c>
      <c r="D1455" s="13"/>
      <c r="E1455" s="508">
        <f>E1442+E1414</f>
        <v>6880.5957446808507</v>
      </c>
      <c r="F1455" s="62"/>
      <c r="G1455" s="62"/>
      <c r="H1455" s="43"/>
    </row>
    <row r="1456" spans="1:8" s="55" customFormat="1" ht="29.25" hidden="1" customHeight="1" x14ac:dyDescent="0.25">
      <c r="A1456" s="354">
        <v>1</v>
      </c>
      <c r="B1456" s="131" t="e">
        <f t="shared" si="39"/>
        <v>#REF!</v>
      </c>
      <c r="C1456" s="21" t="s">
        <v>198</v>
      </c>
      <c r="D1456" s="59"/>
      <c r="E1456" s="513">
        <f>E1446</f>
        <v>667</v>
      </c>
      <c r="F1456" s="62"/>
      <c r="G1456" s="62"/>
      <c r="H1456" s="43"/>
    </row>
    <row r="1457" spans="1:8" s="55" customFormat="1" ht="15.75" hidden="1" customHeight="1" x14ac:dyDescent="0.25">
      <c r="A1457" s="354">
        <v>1</v>
      </c>
      <c r="B1457" s="131" t="e">
        <f t="shared" si="39"/>
        <v>#REF!</v>
      </c>
      <c r="C1457" s="22" t="s">
        <v>112</v>
      </c>
      <c r="D1457" s="59"/>
      <c r="E1457" s="527">
        <f>E1453+E1454+E1414*2.6+E1456+E1443*2.6+E1445/4.2+E1452*2.6</f>
        <v>43625.002380952385</v>
      </c>
      <c r="F1457" s="62"/>
      <c r="G1457" s="62"/>
      <c r="H1457" s="43"/>
    </row>
    <row r="1458" spans="1:8" ht="15.75" hidden="1" customHeight="1" x14ac:dyDescent="0.25">
      <c r="A1458" s="354">
        <v>1</v>
      </c>
      <c r="B1458" s="131" t="e">
        <f t="shared" si="39"/>
        <v>#REF!</v>
      </c>
      <c r="C1458" s="581" t="s">
        <v>7</v>
      </c>
      <c r="D1458" s="18"/>
      <c r="E1458" s="582"/>
      <c r="F1458" s="18"/>
      <c r="G1458" s="18"/>
      <c r="H1458" s="29"/>
    </row>
    <row r="1459" spans="1:8" ht="15.75" hidden="1" customHeight="1" x14ac:dyDescent="0.25">
      <c r="A1459" s="354">
        <v>1</v>
      </c>
      <c r="B1459" s="131" t="e">
        <f t="shared" si="39"/>
        <v>#REF!</v>
      </c>
      <c r="C1459" s="44" t="s">
        <v>93</v>
      </c>
      <c r="D1459" s="18"/>
      <c r="E1459" s="583"/>
      <c r="F1459" s="18"/>
      <c r="G1459" s="306"/>
      <c r="H1459" s="29"/>
    </row>
    <row r="1460" spans="1:8" ht="15.75" hidden="1" customHeight="1" x14ac:dyDescent="0.25">
      <c r="A1460" s="354">
        <v>1</v>
      </c>
      <c r="B1460" s="131" t="e">
        <f t="shared" si="39"/>
        <v>#REF!</v>
      </c>
      <c r="C1460" s="584" t="s">
        <v>55</v>
      </c>
      <c r="D1460" s="18">
        <v>340</v>
      </c>
      <c r="E1460" s="53"/>
      <c r="F1460" s="307">
        <v>12</v>
      </c>
      <c r="G1460" s="2">
        <f>ROUND(H1460/D1460,0)</f>
        <v>0</v>
      </c>
      <c r="H1460" s="2">
        <f>ROUND(E1460*F1460,0)</f>
        <v>0</v>
      </c>
    </row>
    <row r="1461" spans="1:8" ht="15.75" hidden="1" customHeight="1" x14ac:dyDescent="0.25">
      <c r="A1461" s="354">
        <v>1</v>
      </c>
      <c r="B1461" s="131" t="e">
        <f t="shared" si="39"/>
        <v>#REF!</v>
      </c>
      <c r="C1461" s="584" t="s">
        <v>19</v>
      </c>
      <c r="D1461" s="18">
        <v>340</v>
      </c>
      <c r="E1461" s="53"/>
      <c r="F1461" s="307">
        <v>12</v>
      </c>
      <c r="G1461" s="2">
        <f>ROUND(H1461/D1461,0)</f>
        <v>0</v>
      </c>
      <c r="H1461" s="2">
        <f>ROUND(E1461*F1461,0)</f>
        <v>0</v>
      </c>
    </row>
    <row r="1462" spans="1:8" ht="15.75" hidden="1" customHeight="1" x14ac:dyDescent="0.25">
      <c r="A1462" s="354">
        <v>1</v>
      </c>
      <c r="B1462" s="131" t="e">
        <f t="shared" si="39"/>
        <v>#REF!</v>
      </c>
      <c r="C1462" s="547" t="s">
        <v>9</v>
      </c>
      <c r="D1462" s="18"/>
      <c r="E1462" s="506">
        <f>SUM(E1460:E1461)</f>
        <v>0</v>
      </c>
      <c r="F1462" s="158"/>
      <c r="G1462" s="585">
        <f>G1460+G1461</f>
        <v>0</v>
      </c>
      <c r="H1462" s="29">
        <f>H1460+H1461</f>
        <v>0</v>
      </c>
    </row>
    <row r="1463" spans="1:8" ht="15.75" hidden="1" customHeight="1" x14ac:dyDescent="0.25">
      <c r="A1463" s="354">
        <v>1</v>
      </c>
      <c r="B1463" s="131" t="e">
        <f t="shared" si="39"/>
        <v>#REF!</v>
      </c>
      <c r="C1463" s="548" t="s">
        <v>88</v>
      </c>
      <c r="D1463" s="52"/>
      <c r="E1463" s="518">
        <f>E1462</f>
        <v>0</v>
      </c>
      <c r="F1463" s="158"/>
      <c r="G1463" s="289">
        <f>G1462</f>
        <v>0</v>
      </c>
      <c r="H1463" s="289">
        <f>H1462</f>
        <v>0</v>
      </c>
    </row>
    <row r="1464" spans="1:8" ht="16.5" hidden="1" customHeight="1" thickBot="1" x14ac:dyDescent="0.3">
      <c r="A1464" s="354">
        <v>1</v>
      </c>
      <c r="B1464" s="131" t="e">
        <f t="shared" si="39"/>
        <v>#REF!</v>
      </c>
      <c r="C1464" s="488" t="s">
        <v>213</v>
      </c>
      <c r="D1464" s="608"/>
      <c r="E1464" s="543"/>
      <c r="F1464" s="609"/>
      <c r="G1464" s="489"/>
      <c r="H1464" s="489"/>
    </row>
    <row r="1465" spans="1:8" ht="15.75" hidden="1" customHeight="1" x14ac:dyDescent="0.25">
      <c r="A1465" s="354">
        <v>1</v>
      </c>
      <c r="B1465" s="131" t="e">
        <f t="shared" si="39"/>
        <v>#REF!</v>
      </c>
      <c r="C1465" s="797" t="s">
        <v>373</v>
      </c>
      <c r="D1465" s="139"/>
      <c r="E1465" s="610"/>
      <c r="F1465" s="2"/>
      <c r="G1465" s="2"/>
      <c r="H1465" s="2"/>
    </row>
    <row r="1466" spans="1:8" ht="15.75" hidden="1" customHeight="1" x14ac:dyDescent="0.25">
      <c r="A1466" s="354">
        <v>1</v>
      </c>
      <c r="B1466" s="131" t="e">
        <f t="shared" si="39"/>
        <v>#REF!</v>
      </c>
      <c r="C1466" s="798" t="s">
        <v>105</v>
      </c>
      <c r="D1466" s="320"/>
      <c r="E1466" s="610">
        <f>E1467+E1468</f>
        <v>197428</v>
      </c>
      <c r="F1466" s="2"/>
      <c r="G1466" s="2"/>
      <c r="H1466" s="2"/>
    </row>
    <row r="1467" spans="1:8" ht="15.75" hidden="1" customHeight="1" x14ac:dyDescent="0.25">
      <c r="A1467" s="354">
        <v>1</v>
      </c>
      <c r="B1467" s="131" t="e">
        <f t="shared" si="39"/>
        <v>#REF!</v>
      </c>
      <c r="C1467" s="611" t="s">
        <v>106</v>
      </c>
      <c r="D1467" s="320"/>
      <c r="E1467" s="536">
        <v>197358</v>
      </c>
      <c r="F1467" s="2"/>
      <c r="G1467" s="2"/>
      <c r="H1467" s="2"/>
    </row>
    <row r="1468" spans="1:8" ht="31.5" hidden="1" customHeight="1" x14ac:dyDescent="0.25">
      <c r="A1468" s="354">
        <v>1</v>
      </c>
      <c r="B1468" s="131" t="e">
        <f t="shared" si="39"/>
        <v>#REF!</v>
      </c>
      <c r="C1468" s="611" t="s">
        <v>107</v>
      </c>
      <c r="D1468" s="320"/>
      <c r="E1468" s="537">
        <v>70</v>
      </c>
      <c r="F1468" s="2"/>
      <c r="G1468" s="2"/>
      <c r="H1468" s="2"/>
    </row>
    <row r="1469" spans="1:8" ht="16.5" hidden="1" customHeight="1" thickBot="1" x14ac:dyDescent="0.3">
      <c r="A1469" s="354">
        <v>1</v>
      </c>
      <c r="B1469" s="131" t="e">
        <f t="shared" si="39"/>
        <v>#REF!</v>
      </c>
      <c r="C1469" s="495" t="s">
        <v>213</v>
      </c>
      <c r="D1469" s="605"/>
      <c r="E1469" s="604"/>
      <c r="F1469" s="605"/>
      <c r="G1469" s="605"/>
      <c r="H1469" s="605"/>
    </row>
    <row r="1470" spans="1:8" ht="21" hidden="1" customHeight="1" x14ac:dyDescent="0.25">
      <c r="A1470" s="354">
        <v>1</v>
      </c>
      <c r="B1470" s="131" t="e">
        <f t="shared" si="39"/>
        <v>#REF!</v>
      </c>
      <c r="C1470" s="65" t="s">
        <v>374</v>
      </c>
      <c r="D1470" s="385"/>
      <c r="E1470" s="684"/>
      <c r="F1470" s="385"/>
      <c r="G1470" s="385"/>
      <c r="H1470" s="385"/>
    </row>
    <row r="1471" spans="1:8" s="55" customFormat="1" ht="60" hidden="1" customHeight="1" x14ac:dyDescent="0.25">
      <c r="A1471" s="354">
        <v>1</v>
      </c>
      <c r="B1471" s="131" t="e">
        <f t="shared" si="39"/>
        <v>#REF!</v>
      </c>
      <c r="C1471" s="128" t="s">
        <v>250</v>
      </c>
      <c r="D1471" s="12"/>
      <c r="E1471" s="512"/>
      <c r="F1471" s="54"/>
      <c r="G1471" s="54"/>
      <c r="H1471" s="54"/>
    </row>
    <row r="1472" spans="1:8" s="55" customFormat="1" ht="15.75" hidden="1" customHeight="1" x14ac:dyDescent="0.25">
      <c r="A1472" s="354">
        <v>1</v>
      </c>
      <c r="B1472" s="131" t="e">
        <f t="shared" si="39"/>
        <v>#REF!</v>
      </c>
      <c r="C1472" s="14" t="s">
        <v>192</v>
      </c>
      <c r="D1472" s="12"/>
      <c r="E1472" s="512">
        <f>E1474+E1476+E1477</f>
        <v>6200</v>
      </c>
      <c r="F1472" s="54"/>
      <c r="G1472" s="54"/>
      <c r="H1472" s="54"/>
    </row>
    <row r="1473" spans="1:8" s="55" customFormat="1" ht="15.75" hidden="1" customHeight="1" x14ac:dyDescent="0.25">
      <c r="A1473" s="354">
        <v>1</v>
      </c>
      <c r="B1473" s="131" t="e">
        <f t="shared" si="39"/>
        <v>#REF!</v>
      </c>
      <c r="C1473" s="18" t="s">
        <v>116</v>
      </c>
      <c r="D1473" s="12"/>
      <c r="E1473" s="512"/>
      <c r="F1473" s="54"/>
      <c r="G1473" s="54"/>
      <c r="H1473" s="54"/>
    </row>
    <row r="1474" spans="1:8" s="55" customFormat="1" ht="30" hidden="1" customHeight="1" x14ac:dyDescent="0.25">
      <c r="A1474" s="354">
        <v>1</v>
      </c>
      <c r="B1474" s="131" t="e">
        <f t="shared" si="39"/>
        <v>#REF!</v>
      </c>
      <c r="C1474" s="15" t="s">
        <v>397</v>
      </c>
      <c r="D1474" s="12"/>
      <c r="E1474" s="56">
        <v>5700</v>
      </c>
      <c r="F1474" s="54"/>
      <c r="G1474" s="54"/>
      <c r="H1474" s="54"/>
    </row>
    <row r="1475" spans="1:8" s="55" customFormat="1" ht="45" hidden="1" customHeight="1" x14ac:dyDescent="0.25">
      <c r="A1475" s="354">
        <v>1</v>
      </c>
      <c r="B1475" s="131" t="e">
        <f t="shared" si="39"/>
        <v>#REF!</v>
      </c>
      <c r="C1475" s="15" t="s">
        <v>398</v>
      </c>
      <c r="D1475" s="12"/>
      <c r="E1475" s="512"/>
      <c r="F1475" s="54"/>
      <c r="G1475" s="54"/>
      <c r="H1475" s="54"/>
    </row>
    <row r="1476" spans="1:8" s="55" customFormat="1" ht="45" hidden="1" customHeight="1" x14ac:dyDescent="0.25">
      <c r="A1476" s="354">
        <v>1</v>
      </c>
      <c r="B1476" s="131" t="e">
        <f t="shared" si="39"/>
        <v>#REF!</v>
      </c>
      <c r="C1476" s="15" t="s">
        <v>399</v>
      </c>
      <c r="D1476" s="12"/>
      <c r="E1476" s="56">
        <v>400</v>
      </c>
      <c r="F1476" s="54"/>
      <c r="G1476" s="54"/>
      <c r="H1476" s="54"/>
    </row>
    <row r="1477" spans="1:8" s="55" customFormat="1" ht="75" hidden="1" customHeight="1" x14ac:dyDescent="0.25">
      <c r="A1477" s="354">
        <v>1</v>
      </c>
      <c r="B1477" s="131" t="e">
        <f t="shared" si="39"/>
        <v>#REF!</v>
      </c>
      <c r="C1477" s="15" t="s">
        <v>400</v>
      </c>
      <c r="D1477" s="12"/>
      <c r="E1477" s="56">
        <v>100</v>
      </c>
      <c r="F1477" s="54"/>
      <c r="G1477" s="54"/>
      <c r="H1477" s="54"/>
    </row>
    <row r="1478" spans="1:8" s="55" customFormat="1" ht="15.75" hidden="1" customHeight="1" x14ac:dyDescent="0.25">
      <c r="A1478" s="354">
        <v>1</v>
      </c>
      <c r="B1478" s="131" t="e">
        <f t="shared" si="39"/>
        <v>#REF!</v>
      </c>
      <c r="C1478" s="57" t="s">
        <v>90</v>
      </c>
      <c r="D1478" s="12"/>
      <c r="E1478" s="512">
        <f>E1479+E1480+E1481</f>
        <v>3024</v>
      </c>
      <c r="F1478" s="54"/>
      <c r="G1478" s="54"/>
      <c r="H1478" s="54"/>
    </row>
    <row r="1479" spans="1:8" s="55" customFormat="1" ht="15.75" hidden="1" customHeight="1" x14ac:dyDescent="0.25">
      <c r="A1479" s="354">
        <v>1</v>
      </c>
      <c r="B1479" s="131" t="e">
        <f t="shared" si="39"/>
        <v>#REF!</v>
      </c>
      <c r="C1479" s="15" t="s">
        <v>145</v>
      </c>
      <c r="D1479" s="12"/>
      <c r="E1479" s="56">
        <v>2924</v>
      </c>
      <c r="F1479" s="54"/>
      <c r="G1479" s="54"/>
      <c r="H1479" s="54"/>
    </row>
    <row r="1480" spans="1:8" s="55" customFormat="1" ht="45" hidden="1" x14ac:dyDescent="0.25">
      <c r="A1480" s="354">
        <v>1</v>
      </c>
      <c r="B1480" s="131" t="e">
        <f t="shared" si="39"/>
        <v>#REF!</v>
      </c>
      <c r="C1480" s="15" t="s">
        <v>414</v>
      </c>
      <c r="D1480" s="12"/>
      <c r="E1480" s="56">
        <v>24</v>
      </c>
      <c r="F1480" s="54"/>
      <c r="G1480" s="54"/>
      <c r="H1480" s="54"/>
    </row>
    <row r="1481" spans="1:8" s="55" customFormat="1" ht="60" hidden="1" x14ac:dyDescent="0.25">
      <c r="A1481" s="354"/>
      <c r="B1481" s="131"/>
      <c r="C1481" s="15" t="s">
        <v>421</v>
      </c>
      <c r="D1481" s="12"/>
      <c r="E1481" s="56">
        <v>76</v>
      </c>
      <c r="F1481" s="54"/>
      <c r="G1481" s="54"/>
      <c r="H1481" s="54"/>
    </row>
    <row r="1482" spans="1:8" s="55" customFormat="1" ht="15.75" hidden="1" customHeight="1" x14ac:dyDescent="0.25">
      <c r="A1482" s="354">
        <v>1</v>
      </c>
      <c r="B1482" s="131" t="e">
        <f>B1480+1</f>
        <v>#REF!</v>
      </c>
      <c r="C1482" s="33" t="s">
        <v>98</v>
      </c>
      <c r="D1482" s="12"/>
      <c r="E1482" s="56"/>
      <c r="F1482" s="54"/>
      <c r="G1482" s="54"/>
      <c r="H1482" s="54"/>
    </row>
    <row r="1483" spans="1:8" s="55" customFormat="1" ht="45" hidden="1" customHeight="1" x14ac:dyDescent="0.25">
      <c r="A1483" s="354">
        <v>1</v>
      </c>
      <c r="B1483" s="131" t="e">
        <f t="shared" si="39"/>
        <v>#REF!</v>
      </c>
      <c r="C1483" s="15" t="s">
        <v>420</v>
      </c>
      <c r="D1483" s="12"/>
      <c r="E1483" s="56">
        <v>378</v>
      </c>
      <c r="F1483" s="54"/>
      <c r="G1483" s="54"/>
      <c r="H1483" s="54"/>
    </row>
    <row r="1484" spans="1:8" s="55" customFormat="1" ht="47.25" hidden="1" customHeight="1" x14ac:dyDescent="0.25">
      <c r="A1484" s="354">
        <v>1</v>
      </c>
      <c r="B1484" s="131" t="e">
        <f t="shared" si="39"/>
        <v>#REF!</v>
      </c>
      <c r="C1484" s="58" t="s">
        <v>333</v>
      </c>
      <c r="D1484" s="12"/>
      <c r="E1484" s="512">
        <f>E1485+E1492</f>
        <v>2720</v>
      </c>
      <c r="F1484" s="54"/>
      <c r="G1484" s="54"/>
      <c r="H1484" s="54"/>
    </row>
    <row r="1485" spans="1:8" s="55" customFormat="1" ht="30" hidden="1" customHeight="1" x14ac:dyDescent="0.25">
      <c r="A1485" s="354">
        <v>1</v>
      </c>
      <c r="B1485" s="131" t="e">
        <f t="shared" si="39"/>
        <v>#REF!</v>
      </c>
      <c r="C1485" s="16" t="s">
        <v>193</v>
      </c>
      <c r="D1485" s="59"/>
      <c r="E1485" s="513">
        <f>SUM(E1486:E1491)-E1489</f>
        <v>2225</v>
      </c>
      <c r="F1485" s="54"/>
      <c r="G1485" s="54"/>
      <c r="H1485" s="54"/>
    </row>
    <row r="1486" spans="1:8" s="55" customFormat="1" ht="30" hidden="1" customHeight="1" x14ac:dyDescent="0.25">
      <c r="A1486" s="354">
        <v>1</v>
      </c>
      <c r="B1486" s="131" t="e">
        <f t="shared" si="39"/>
        <v>#REF!</v>
      </c>
      <c r="C1486" s="15" t="s">
        <v>334</v>
      </c>
      <c r="D1486" s="59"/>
      <c r="E1486" s="60">
        <v>1882</v>
      </c>
      <c r="F1486" s="54"/>
      <c r="G1486" s="54"/>
      <c r="H1486" s="54"/>
    </row>
    <row r="1487" spans="1:8" s="55" customFormat="1" ht="45" hidden="1" customHeight="1" x14ac:dyDescent="0.25">
      <c r="A1487" s="354">
        <v>1</v>
      </c>
      <c r="B1487" s="131" t="e">
        <f t="shared" si="39"/>
        <v>#REF!</v>
      </c>
      <c r="C1487" s="15" t="s">
        <v>335</v>
      </c>
      <c r="D1487" s="59"/>
      <c r="E1487" s="53"/>
      <c r="F1487" s="54"/>
      <c r="G1487" s="54"/>
      <c r="H1487" s="54"/>
    </row>
    <row r="1488" spans="1:8" s="55" customFormat="1" ht="30" hidden="1" customHeight="1" x14ac:dyDescent="0.25">
      <c r="A1488" s="354">
        <v>1</v>
      </c>
      <c r="B1488" s="131" t="e">
        <f t="shared" si="39"/>
        <v>#REF!</v>
      </c>
      <c r="C1488" s="15" t="s">
        <v>380</v>
      </c>
      <c r="D1488" s="59"/>
      <c r="E1488" s="53">
        <v>343</v>
      </c>
      <c r="F1488" s="54"/>
      <c r="G1488" s="54"/>
      <c r="H1488" s="54"/>
    </row>
    <row r="1489" spans="1:8" s="55" customFormat="1" ht="30" hidden="1" customHeight="1" x14ac:dyDescent="0.25">
      <c r="A1489" s="354">
        <v>1</v>
      </c>
      <c r="B1489" s="131" t="e">
        <f t="shared" si="39"/>
        <v>#REF!</v>
      </c>
      <c r="C1489" s="15" t="s">
        <v>381</v>
      </c>
      <c r="D1489" s="59"/>
      <c r="E1489" s="53"/>
      <c r="F1489" s="54"/>
      <c r="G1489" s="54"/>
      <c r="H1489" s="54"/>
    </row>
    <row r="1490" spans="1:8" s="55" customFormat="1" ht="30" hidden="1" customHeight="1" x14ac:dyDescent="0.25">
      <c r="A1490" s="354">
        <v>1</v>
      </c>
      <c r="B1490" s="131" t="e">
        <f t="shared" si="39"/>
        <v>#REF!</v>
      </c>
      <c r="C1490" s="15" t="s">
        <v>382</v>
      </c>
      <c r="D1490" s="59"/>
      <c r="E1490" s="53"/>
      <c r="F1490" s="54"/>
      <c r="G1490" s="54"/>
      <c r="H1490" s="54"/>
    </row>
    <row r="1491" spans="1:8" s="55" customFormat="1" ht="30" hidden="1" customHeight="1" x14ac:dyDescent="0.25">
      <c r="A1491" s="354">
        <v>1</v>
      </c>
      <c r="B1491" s="131" t="e">
        <f t="shared" si="39"/>
        <v>#REF!</v>
      </c>
      <c r="C1491" s="15" t="s">
        <v>383</v>
      </c>
      <c r="D1491" s="59"/>
      <c r="E1491" s="53"/>
      <c r="F1491" s="54"/>
      <c r="G1491" s="54"/>
      <c r="H1491" s="54"/>
    </row>
    <row r="1492" spans="1:8" s="55" customFormat="1" ht="30" hidden="1" customHeight="1" x14ac:dyDescent="0.25">
      <c r="A1492" s="354">
        <v>1</v>
      </c>
      <c r="B1492" s="131" t="e">
        <f t="shared" si="39"/>
        <v>#REF!</v>
      </c>
      <c r="C1492" s="16" t="s">
        <v>194</v>
      </c>
      <c r="D1492" s="59"/>
      <c r="E1492" s="559">
        <f>SUM(E1493:E1495)</f>
        <v>495</v>
      </c>
      <c r="F1492" s="54"/>
      <c r="G1492" s="54"/>
      <c r="H1492" s="54"/>
    </row>
    <row r="1493" spans="1:8" ht="30" hidden="1" customHeight="1" x14ac:dyDescent="0.25">
      <c r="A1493" s="354">
        <v>1</v>
      </c>
      <c r="B1493" s="131" t="e">
        <f t="shared" si="39"/>
        <v>#REF!</v>
      </c>
      <c r="C1493" s="15" t="s">
        <v>384</v>
      </c>
      <c r="D1493" s="13"/>
      <c r="E1493" s="53">
        <v>495</v>
      </c>
      <c r="F1493" s="2"/>
      <c r="G1493" s="2"/>
      <c r="H1493" s="2"/>
    </row>
    <row r="1494" spans="1:8" s="55" customFormat="1" ht="45" hidden="1" customHeight="1" x14ac:dyDescent="0.25">
      <c r="A1494" s="354">
        <v>1</v>
      </c>
      <c r="B1494" s="131" t="e">
        <f t="shared" si="39"/>
        <v>#REF!</v>
      </c>
      <c r="C1494" s="15" t="s">
        <v>385</v>
      </c>
      <c r="D1494" s="277"/>
      <c r="E1494" s="53"/>
      <c r="F1494" s="54"/>
      <c r="G1494" s="54"/>
      <c r="H1494" s="54"/>
    </row>
    <row r="1495" spans="1:8" s="55" customFormat="1" ht="45" hidden="1" customHeight="1" x14ac:dyDescent="0.25">
      <c r="A1495" s="354">
        <v>1</v>
      </c>
      <c r="B1495" s="131" t="e">
        <f t="shared" si="39"/>
        <v>#REF!</v>
      </c>
      <c r="C1495" s="15" t="s">
        <v>386</v>
      </c>
      <c r="D1495" s="61"/>
      <c r="E1495" s="513"/>
      <c r="F1495" s="62"/>
      <c r="G1495" s="62"/>
      <c r="H1495" s="43"/>
    </row>
    <row r="1496" spans="1:8" s="55" customFormat="1" ht="15.75" hidden="1" customHeight="1" x14ac:dyDescent="0.25">
      <c r="A1496" s="354">
        <v>1</v>
      </c>
      <c r="B1496" s="131" t="e">
        <f t="shared" si="39"/>
        <v>#REF!</v>
      </c>
      <c r="C1496" s="14" t="s">
        <v>251</v>
      </c>
      <c r="D1496" s="13"/>
      <c r="E1496" s="53">
        <f>E1497+E1498+E1503+E1502+E1504+E1505</f>
        <v>7974</v>
      </c>
      <c r="F1496" s="62"/>
      <c r="G1496" s="62"/>
      <c r="H1496" s="43"/>
    </row>
    <row r="1497" spans="1:8" s="55" customFormat="1" ht="15.75" hidden="1" customHeight="1" x14ac:dyDescent="0.25">
      <c r="A1497" s="354">
        <v>1</v>
      </c>
      <c r="B1497" s="131" t="e">
        <f t="shared" si="39"/>
        <v>#REF!</v>
      </c>
      <c r="C1497" s="15" t="s">
        <v>252</v>
      </c>
      <c r="D1497" s="13"/>
      <c r="E1497" s="53"/>
      <c r="F1497" s="62"/>
      <c r="G1497" s="62"/>
      <c r="H1497" s="43"/>
    </row>
    <row r="1498" spans="1:8" s="55" customFormat="1" ht="30" hidden="1" customHeight="1" x14ac:dyDescent="0.25">
      <c r="A1498" s="354">
        <v>1</v>
      </c>
      <c r="B1498" s="131" t="e">
        <f t="shared" si="39"/>
        <v>#REF!</v>
      </c>
      <c r="C1498" s="16" t="s">
        <v>388</v>
      </c>
      <c r="D1498" s="13"/>
      <c r="E1498" s="53">
        <f>E1499+E1500/4</f>
        <v>6909</v>
      </c>
      <c r="F1498" s="62"/>
      <c r="G1498" s="62"/>
      <c r="H1498" s="43"/>
    </row>
    <row r="1499" spans="1:8" s="145" customFormat="1" ht="15.75" hidden="1" customHeight="1" x14ac:dyDescent="0.25">
      <c r="A1499" s="354">
        <v>1</v>
      </c>
      <c r="B1499" s="131" t="e">
        <f t="shared" si="39"/>
        <v>#REF!</v>
      </c>
      <c r="C1499" s="15" t="s">
        <v>389</v>
      </c>
      <c r="D1499" s="13"/>
      <c r="E1499" s="17">
        <v>3159</v>
      </c>
      <c r="F1499" s="10"/>
      <c r="G1499" s="10"/>
      <c r="H1499" s="10"/>
    </row>
    <row r="1500" spans="1:8" s="55" customFormat="1" ht="30" hidden="1" customHeight="1" x14ac:dyDescent="0.25">
      <c r="A1500" s="354">
        <v>1</v>
      </c>
      <c r="B1500" s="131" t="e">
        <f t="shared" si="39"/>
        <v>#REF!</v>
      </c>
      <c r="C1500" s="15" t="s">
        <v>390</v>
      </c>
      <c r="D1500" s="13"/>
      <c r="E1500" s="53">
        <v>15000</v>
      </c>
      <c r="F1500" s="62"/>
      <c r="G1500" s="62"/>
      <c r="H1500" s="43"/>
    </row>
    <row r="1501" spans="1:8" s="55" customFormat="1" ht="45" hidden="1" customHeight="1" x14ac:dyDescent="0.25">
      <c r="A1501" s="354">
        <v>1</v>
      </c>
      <c r="B1501" s="131" t="e">
        <f t="shared" si="39"/>
        <v>#REF!</v>
      </c>
      <c r="C1501" s="15" t="s">
        <v>391</v>
      </c>
      <c r="D1501" s="13"/>
      <c r="E1501" s="53"/>
      <c r="F1501" s="62"/>
      <c r="G1501" s="62"/>
      <c r="H1501" s="43"/>
    </row>
    <row r="1502" spans="1:8" s="55" customFormat="1" ht="45" hidden="1" customHeight="1" x14ac:dyDescent="0.25">
      <c r="A1502" s="354">
        <v>1</v>
      </c>
      <c r="B1502" s="131" t="e">
        <f t="shared" si="39"/>
        <v>#REF!</v>
      </c>
      <c r="C1502" s="15" t="s">
        <v>392</v>
      </c>
      <c r="D1502" s="13"/>
      <c r="E1502" s="60"/>
      <c r="F1502" s="62"/>
      <c r="G1502" s="62"/>
      <c r="H1502" s="43"/>
    </row>
    <row r="1503" spans="1:8" s="55" customFormat="1" ht="45" hidden="1" customHeight="1" x14ac:dyDescent="0.25">
      <c r="A1503" s="354">
        <v>1</v>
      </c>
      <c r="B1503" s="131" t="e">
        <f t="shared" si="39"/>
        <v>#REF!</v>
      </c>
      <c r="C1503" s="18" t="s">
        <v>393</v>
      </c>
      <c r="D1503" s="13"/>
      <c r="E1503" s="60">
        <v>400</v>
      </c>
      <c r="F1503" s="62"/>
      <c r="G1503" s="62"/>
      <c r="H1503" s="43"/>
    </row>
    <row r="1504" spans="1:8" s="55" customFormat="1" ht="75" hidden="1" customHeight="1" x14ac:dyDescent="0.25">
      <c r="A1504" s="354">
        <v>1</v>
      </c>
      <c r="B1504" s="131" t="e">
        <f t="shared" si="39"/>
        <v>#REF!</v>
      </c>
      <c r="C1504" s="18" t="s">
        <v>394</v>
      </c>
      <c r="D1504" s="13"/>
      <c r="E1504" s="53">
        <v>100</v>
      </c>
      <c r="F1504" s="62"/>
      <c r="G1504" s="62"/>
      <c r="H1504" s="43"/>
    </row>
    <row r="1505" spans="1:8" s="55" customFormat="1" ht="30" hidden="1" customHeight="1" x14ac:dyDescent="0.25">
      <c r="A1505" s="354">
        <v>1</v>
      </c>
      <c r="B1505" s="131" t="e">
        <f t="shared" si="39"/>
        <v>#REF!</v>
      </c>
      <c r="C1505" s="18" t="s">
        <v>395</v>
      </c>
      <c r="D1505" s="13"/>
      <c r="E1505" s="53">
        <v>565</v>
      </c>
      <c r="F1505" s="62"/>
      <c r="G1505" s="62"/>
      <c r="H1505" s="43"/>
    </row>
    <row r="1506" spans="1:8" s="55" customFormat="1" ht="15.75" hidden="1" customHeight="1" x14ac:dyDescent="0.25">
      <c r="A1506" s="354">
        <v>1</v>
      </c>
      <c r="B1506" s="131" t="e">
        <f t="shared" si="39"/>
        <v>#REF!</v>
      </c>
      <c r="C1506" s="14" t="s">
        <v>253</v>
      </c>
      <c r="D1506" s="13"/>
      <c r="E1506" s="60">
        <f>E1508</f>
        <v>7514.5744680851058</v>
      </c>
      <c r="F1506" s="62"/>
      <c r="G1506" s="62"/>
      <c r="H1506" s="43"/>
    </row>
    <row r="1507" spans="1:8" s="55" customFormat="1" ht="15.75" hidden="1" customHeight="1" x14ac:dyDescent="0.25">
      <c r="A1507" s="354">
        <v>1</v>
      </c>
      <c r="B1507" s="131" t="e">
        <f t="shared" si="39"/>
        <v>#REF!</v>
      </c>
      <c r="C1507" s="14" t="s">
        <v>254</v>
      </c>
      <c r="D1507" s="13"/>
      <c r="E1507" s="68"/>
      <c r="F1507" s="62"/>
      <c r="G1507" s="62"/>
      <c r="H1507" s="43"/>
    </row>
    <row r="1508" spans="1:8" s="55" customFormat="1" ht="15.75" hidden="1" customHeight="1" x14ac:dyDescent="0.25">
      <c r="A1508" s="354">
        <v>1</v>
      </c>
      <c r="B1508" s="131" t="e">
        <f t="shared" si="39"/>
        <v>#REF!</v>
      </c>
      <c r="C1508" s="15" t="s">
        <v>255</v>
      </c>
      <c r="D1508" s="13"/>
      <c r="E1508" s="53">
        <f>E1509/9.4</f>
        <v>7514.5744680851058</v>
      </c>
      <c r="F1508" s="62"/>
      <c r="G1508" s="62"/>
      <c r="H1508" s="43"/>
    </row>
    <row r="1509" spans="1:8" s="55" customFormat="1" ht="15.75" hidden="1" customHeight="1" x14ac:dyDescent="0.25">
      <c r="A1509" s="354">
        <v>1</v>
      </c>
      <c r="B1509" s="131" t="e">
        <f t="shared" si="39"/>
        <v>#REF!</v>
      </c>
      <c r="C1509" s="42" t="s">
        <v>261</v>
      </c>
      <c r="D1509" s="13"/>
      <c r="E1509" s="53">
        <v>70637</v>
      </c>
      <c r="F1509" s="62"/>
      <c r="G1509" s="62"/>
      <c r="H1509" s="43"/>
    </row>
    <row r="1510" spans="1:8" s="55" customFormat="1" ht="29.25" hidden="1" customHeight="1" x14ac:dyDescent="0.25">
      <c r="A1510" s="354">
        <v>1</v>
      </c>
      <c r="B1510" s="131" t="e">
        <f t="shared" si="39"/>
        <v>#REF!</v>
      </c>
      <c r="C1510" s="14" t="s">
        <v>256</v>
      </c>
      <c r="D1510" s="13"/>
      <c r="E1510" s="550">
        <v>350</v>
      </c>
      <c r="F1510" s="62"/>
      <c r="G1510" s="62"/>
      <c r="H1510" s="43"/>
    </row>
    <row r="1511" spans="1:8" s="55" customFormat="1" ht="15.75" hidden="1" customHeight="1" x14ac:dyDescent="0.25">
      <c r="A1511" s="354">
        <v>1</v>
      </c>
      <c r="B1511" s="131" t="e">
        <f t="shared" si="39"/>
        <v>#REF!</v>
      </c>
      <c r="C1511" s="19" t="s">
        <v>117</v>
      </c>
      <c r="D1511" s="13"/>
      <c r="E1511" s="550"/>
      <c r="F1511" s="62"/>
      <c r="G1511" s="62"/>
      <c r="H1511" s="43"/>
    </row>
    <row r="1512" spans="1:8" s="55" customFormat="1" ht="57.75" hidden="1" customHeight="1" x14ac:dyDescent="0.25">
      <c r="A1512" s="354">
        <v>1</v>
      </c>
      <c r="B1512" s="131" t="e">
        <f t="shared" si="39"/>
        <v>#REF!</v>
      </c>
      <c r="C1512" s="21" t="s">
        <v>259</v>
      </c>
      <c r="D1512" s="13"/>
      <c r="E1512" s="550"/>
      <c r="F1512" s="62"/>
      <c r="G1512" s="62"/>
      <c r="H1512" s="43"/>
    </row>
    <row r="1513" spans="1:8" s="55" customFormat="1" ht="15.75" hidden="1" customHeight="1" x14ac:dyDescent="0.25">
      <c r="A1513" s="354">
        <v>1</v>
      </c>
      <c r="B1513" s="131" t="e">
        <f t="shared" si="39"/>
        <v>#REF!</v>
      </c>
      <c r="C1513" s="20" t="s">
        <v>165</v>
      </c>
      <c r="D1513" s="13"/>
      <c r="E1513" s="544">
        <f>E1514+E1515</f>
        <v>270</v>
      </c>
      <c r="F1513" s="62"/>
      <c r="G1513" s="62"/>
      <c r="H1513" s="43"/>
    </row>
    <row r="1514" spans="1:8" s="55" customFormat="1" ht="18" hidden="1" customHeight="1" x14ac:dyDescent="0.25">
      <c r="A1514" s="354">
        <v>1</v>
      </c>
      <c r="B1514" s="131" t="e">
        <f t="shared" si="39"/>
        <v>#REF!</v>
      </c>
      <c r="C1514" s="80" t="s">
        <v>205</v>
      </c>
      <c r="D1514" s="13"/>
      <c r="E1514" s="53">
        <v>150</v>
      </c>
      <c r="F1514" s="62"/>
      <c r="G1514" s="62"/>
      <c r="H1514" s="43"/>
    </row>
    <row r="1515" spans="1:8" s="55" customFormat="1" ht="30" hidden="1" customHeight="1" x14ac:dyDescent="0.25">
      <c r="A1515" s="354">
        <v>1</v>
      </c>
      <c r="B1515" s="131" t="e">
        <f t="shared" si="39"/>
        <v>#REF!</v>
      </c>
      <c r="C1515" s="80" t="s">
        <v>204</v>
      </c>
      <c r="D1515" s="13"/>
      <c r="E1515" s="53">
        <v>120</v>
      </c>
      <c r="F1515" s="62"/>
      <c r="G1515" s="62"/>
      <c r="H1515" s="43"/>
    </row>
    <row r="1516" spans="1:8" s="55" customFormat="1" ht="43.5" hidden="1" customHeight="1" x14ac:dyDescent="0.25">
      <c r="A1516" s="354">
        <v>1</v>
      </c>
      <c r="B1516" s="131" t="e">
        <f>#REF!+1</f>
        <v>#REF!</v>
      </c>
      <c r="C1516" s="21" t="s">
        <v>396</v>
      </c>
      <c r="D1516" s="13"/>
      <c r="E1516" s="508">
        <f>E1483</f>
        <v>378</v>
      </c>
      <c r="F1516" s="62"/>
      <c r="G1516" s="62"/>
      <c r="H1516" s="43"/>
    </row>
    <row r="1517" spans="1:8" s="55" customFormat="1" ht="15.75" hidden="1" customHeight="1" x14ac:dyDescent="0.25">
      <c r="A1517" s="354">
        <v>1</v>
      </c>
      <c r="B1517" s="131" t="e">
        <f t="shared" si="39"/>
        <v>#REF!</v>
      </c>
      <c r="C1517" s="21" t="s">
        <v>195</v>
      </c>
      <c r="D1517" s="59"/>
      <c r="E1517" s="513">
        <f>E1496+E1472</f>
        <v>14174</v>
      </c>
      <c r="F1517" s="62"/>
      <c r="G1517" s="62"/>
      <c r="H1517" s="43"/>
    </row>
    <row r="1518" spans="1:8" s="55" customFormat="1" ht="29.25" hidden="1" customHeight="1" x14ac:dyDescent="0.25">
      <c r="A1518" s="354">
        <v>1</v>
      </c>
      <c r="B1518" s="131" t="e">
        <f t="shared" si="39"/>
        <v>#REF!</v>
      </c>
      <c r="C1518" s="21" t="s">
        <v>196</v>
      </c>
      <c r="D1518" s="59"/>
      <c r="E1518" s="527">
        <f>E1484</f>
        <v>2720</v>
      </c>
      <c r="F1518" s="62"/>
      <c r="G1518" s="62"/>
      <c r="H1518" s="43"/>
    </row>
    <row r="1519" spans="1:8" ht="15.75" hidden="1" customHeight="1" x14ac:dyDescent="0.25">
      <c r="A1519" s="354">
        <v>1</v>
      </c>
      <c r="B1519" s="131" t="e">
        <f t="shared" ref="B1519:B1584" si="40">B1518+1</f>
        <v>#REF!</v>
      </c>
      <c r="C1519" s="21" t="s">
        <v>197</v>
      </c>
      <c r="D1519" s="13"/>
      <c r="E1519" s="508">
        <f>E1506+E1478</f>
        <v>10538.574468085106</v>
      </c>
      <c r="F1519" s="2"/>
      <c r="G1519" s="2"/>
      <c r="H1519" s="2"/>
    </row>
    <row r="1520" spans="1:8" s="55" customFormat="1" ht="29.25" hidden="1" customHeight="1" x14ac:dyDescent="0.25">
      <c r="A1520" s="354">
        <v>1</v>
      </c>
      <c r="B1520" s="131" t="e">
        <f t="shared" si="40"/>
        <v>#REF!</v>
      </c>
      <c r="C1520" s="21" t="s">
        <v>198</v>
      </c>
      <c r="D1520" s="13"/>
      <c r="E1520" s="508">
        <f>E1510</f>
        <v>350</v>
      </c>
      <c r="F1520" s="62"/>
      <c r="G1520" s="62"/>
      <c r="H1520" s="43"/>
    </row>
    <row r="1521" spans="1:8" s="55" customFormat="1" ht="15.75" hidden="1" customHeight="1" x14ac:dyDescent="0.25">
      <c r="A1521" s="354">
        <v>1</v>
      </c>
      <c r="B1521" s="131" t="e">
        <f t="shared" si="40"/>
        <v>#REF!</v>
      </c>
      <c r="C1521" s="22" t="s">
        <v>112</v>
      </c>
      <c r="D1521" s="13"/>
      <c r="E1521" s="508">
        <f>E1517+E1518+E1520+E1509/4.2+E1478*2.6+E1516*2.6</f>
        <v>42907.533333333333</v>
      </c>
      <c r="F1521" s="62"/>
      <c r="G1521" s="62"/>
      <c r="H1521" s="43"/>
    </row>
    <row r="1522" spans="1:8" ht="15.75" hidden="1" customHeight="1" x14ac:dyDescent="0.25">
      <c r="A1522" s="354">
        <v>1</v>
      </c>
      <c r="B1522" s="131" t="e">
        <f t="shared" si="40"/>
        <v>#REF!</v>
      </c>
      <c r="C1522" s="44" t="s">
        <v>7</v>
      </c>
      <c r="D1522" s="380"/>
      <c r="E1522" s="53"/>
      <c r="F1522" s="2"/>
      <c r="G1522" s="2"/>
      <c r="H1522" s="2"/>
    </row>
    <row r="1523" spans="1:8" ht="15.75" hidden="1" customHeight="1" x14ac:dyDescent="0.25">
      <c r="A1523" s="354">
        <v>1</v>
      </c>
      <c r="B1523" s="131" t="e">
        <f t="shared" si="40"/>
        <v>#REF!</v>
      </c>
      <c r="C1523" s="293" t="s">
        <v>71</v>
      </c>
      <c r="D1523" s="380"/>
      <c r="E1523" s="53"/>
      <c r="F1523" s="2"/>
      <c r="G1523" s="2"/>
      <c r="H1523" s="2"/>
    </row>
    <row r="1524" spans="1:8" ht="15.75" hidden="1" customHeight="1" x14ac:dyDescent="0.25">
      <c r="A1524" s="354">
        <v>1</v>
      </c>
      <c r="B1524" s="131" t="e">
        <f t="shared" si="40"/>
        <v>#REF!</v>
      </c>
      <c r="C1524" s="539" t="s">
        <v>19</v>
      </c>
      <c r="D1524" s="52">
        <v>240</v>
      </c>
      <c r="E1524" s="53">
        <v>228</v>
      </c>
      <c r="F1524" s="47">
        <v>8</v>
      </c>
      <c r="G1524" s="2">
        <f>ROUND(H1524/D1524,0)</f>
        <v>8</v>
      </c>
      <c r="H1524" s="2">
        <f>ROUND(E1524*F1524,0)</f>
        <v>1824</v>
      </c>
    </row>
    <row r="1525" spans="1:8" ht="15.75" hidden="1" customHeight="1" x14ac:dyDescent="0.25">
      <c r="A1525" s="354">
        <v>1</v>
      </c>
      <c r="B1525" s="131" t="e">
        <f t="shared" si="40"/>
        <v>#REF!</v>
      </c>
      <c r="C1525" s="547" t="s">
        <v>94</v>
      </c>
      <c r="D1525" s="52"/>
      <c r="E1525" s="506">
        <f>E1524</f>
        <v>228</v>
      </c>
      <c r="F1525" s="158">
        <f>H1525/E1525</f>
        <v>8</v>
      </c>
      <c r="G1525" s="31">
        <f>G1524</f>
        <v>8</v>
      </c>
      <c r="H1525" s="31">
        <f>H1524</f>
        <v>1824</v>
      </c>
    </row>
    <row r="1526" spans="1:8" ht="15.75" hidden="1" customHeight="1" x14ac:dyDescent="0.25">
      <c r="A1526" s="354">
        <v>1</v>
      </c>
      <c r="B1526" s="131" t="e">
        <f t="shared" si="40"/>
        <v>#REF!</v>
      </c>
      <c r="C1526" s="548" t="s">
        <v>88</v>
      </c>
      <c r="D1526" s="52"/>
      <c r="E1526" s="518">
        <f>E1525</f>
        <v>228</v>
      </c>
      <c r="F1526" s="75">
        <f>F1525</f>
        <v>8</v>
      </c>
      <c r="G1526" s="289">
        <f t="shared" ref="G1526:H1526" si="41">G1525</f>
        <v>8</v>
      </c>
      <c r="H1526" s="289">
        <f t="shared" si="41"/>
        <v>1824</v>
      </c>
    </row>
    <row r="1527" spans="1:8" ht="16.5" hidden="1" customHeight="1" thickBot="1" x14ac:dyDescent="0.3">
      <c r="A1527" s="354">
        <v>1</v>
      </c>
      <c r="B1527" s="131" t="e">
        <f t="shared" si="40"/>
        <v>#REF!</v>
      </c>
      <c r="C1527" s="495" t="s">
        <v>213</v>
      </c>
      <c r="D1527" s="381"/>
      <c r="E1527" s="573"/>
      <c r="F1527" s="370"/>
      <c r="G1527" s="370"/>
      <c r="H1527" s="370"/>
    </row>
    <row r="1528" spans="1:8" ht="47.25" hidden="1" customHeight="1" x14ac:dyDescent="0.25">
      <c r="A1528" s="354">
        <v>1</v>
      </c>
      <c r="B1528" s="131" t="e">
        <f t="shared" si="40"/>
        <v>#REF!</v>
      </c>
      <c r="C1528" s="65" t="s">
        <v>375</v>
      </c>
      <c r="D1528" s="612"/>
      <c r="E1528" s="613"/>
      <c r="F1528" s="612"/>
      <c r="G1528" s="612"/>
      <c r="H1528" s="612"/>
    </row>
    <row r="1529" spans="1:8" ht="15.75" hidden="1" customHeight="1" x14ac:dyDescent="0.25">
      <c r="A1529" s="354">
        <v>1</v>
      </c>
      <c r="B1529" s="131" t="e">
        <f t="shared" si="40"/>
        <v>#REF!</v>
      </c>
      <c r="C1529" s="499" t="s">
        <v>4</v>
      </c>
      <c r="D1529" s="372"/>
      <c r="E1529" s="614"/>
      <c r="F1529" s="372"/>
      <c r="G1529" s="372"/>
      <c r="H1529" s="372"/>
    </row>
    <row r="1530" spans="1:8" ht="15.75" hidden="1" customHeight="1" x14ac:dyDescent="0.25">
      <c r="A1530" s="354">
        <v>1</v>
      </c>
      <c r="B1530" s="131" t="e">
        <f t="shared" si="40"/>
        <v>#REF!</v>
      </c>
      <c r="C1530" s="574" t="s">
        <v>92</v>
      </c>
      <c r="D1530" s="382">
        <v>320</v>
      </c>
      <c r="E1530" s="536">
        <v>2800</v>
      </c>
      <c r="F1530" s="307">
        <v>13</v>
      </c>
      <c r="G1530" s="139">
        <f>ROUND(H1530/D1530,0)</f>
        <v>114</v>
      </c>
      <c r="H1530" s="2">
        <f>ROUND(E1530*F1530,0)</f>
        <v>36400</v>
      </c>
    </row>
    <row r="1531" spans="1:8" ht="15.75" hidden="1" customHeight="1" x14ac:dyDescent="0.25">
      <c r="A1531" s="354">
        <v>1</v>
      </c>
      <c r="B1531" s="131" t="e">
        <f t="shared" si="40"/>
        <v>#REF!</v>
      </c>
      <c r="C1531" s="579" t="s">
        <v>5</v>
      </c>
      <c r="D1531" s="420">
        <v>320</v>
      </c>
      <c r="E1531" s="610">
        <f>SUM(E1530)</f>
        <v>2800</v>
      </c>
      <c r="F1531" s="310">
        <f>F1530</f>
        <v>13</v>
      </c>
      <c r="G1531" s="63">
        <f>G1530</f>
        <v>114</v>
      </c>
      <c r="H1531" s="63">
        <f>H1530</f>
        <v>36400</v>
      </c>
    </row>
    <row r="1532" spans="1:8" ht="30" hidden="1" customHeight="1" x14ac:dyDescent="0.25">
      <c r="A1532" s="354">
        <v>1</v>
      </c>
      <c r="B1532" s="131" t="e">
        <f t="shared" si="40"/>
        <v>#REF!</v>
      </c>
      <c r="C1532" s="128" t="s">
        <v>98</v>
      </c>
      <c r="D1532" s="713"/>
      <c r="E1532" s="610"/>
      <c r="F1532" s="310"/>
      <c r="G1532" s="63"/>
      <c r="H1532" s="379"/>
    </row>
    <row r="1533" spans="1:8" ht="15.75" hidden="1" customHeight="1" x14ac:dyDescent="0.25">
      <c r="A1533" s="354">
        <v>1</v>
      </c>
      <c r="B1533" s="131" t="e">
        <f t="shared" si="40"/>
        <v>#REF!</v>
      </c>
      <c r="C1533" s="14" t="s">
        <v>253</v>
      </c>
      <c r="D1533" s="420"/>
      <c r="E1533" s="610">
        <f>E1534</f>
        <v>300</v>
      </c>
      <c r="F1533" s="310"/>
      <c r="G1533" s="63"/>
      <c r="H1533" s="379"/>
    </row>
    <row r="1534" spans="1:8" ht="15.75" hidden="1" customHeight="1" x14ac:dyDescent="0.25">
      <c r="A1534" s="354">
        <v>1</v>
      </c>
      <c r="B1534" s="131" t="e">
        <f t="shared" si="40"/>
        <v>#REF!</v>
      </c>
      <c r="C1534" s="30" t="s">
        <v>418</v>
      </c>
      <c r="D1534" s="420"/>
      <c r="E1534" s="610">
        <f>SUM(E1535:E1541)</f>
        <v>300</v>
      </c>
      <c r="F1534" s="310"/>
      <c r="G1534" s="63"/>
      <c r="H1534" s="379"/>
    </row>
    <row r="1535" spans="1:8" ht="60" hidden="1" customHeight="1" x14ac:dyDescent="0.25">
      <c r="A1535" s="354">
        <v>1</v>
      </c>
      <c r="B1535" s="131" t="e">
        <f t="shared" si="40"/>
        <v>#REF!</v>
      </c>
      <c r="C1535" s="615" t="s">
        <v>339</v>
      </c>
      <c r="D1535" s="380"/>
      <c r="E1535" s="53">
        <v>5</v>
      </c>
      <c r="F1535" s="2"/>
      <c r="G1535" s="2"/>
      <c r="H1535" s="2"/>
    </row>
    <row r="1536" spans="1:8" ht="60" hidden="1" customHeight="1" x14ac:dyDescent="0.25">
      <c r="A1536" s="354">
        <v>1</v>
      </c>
      <c r="B1536" s="131" t="e">
        <f t="shared" si="40"/>
        <v>#REF!</v>
      </c>
      <c r="C1536" s="615" t="s">
        <v>340</v>
      </c>
      <c r="D1536" s="380"/>
      <c r="E1536" s="53">
        <v>5</v>
      </c>
      <c r="F1536" s="2"/>
      <c r="G1536" s="2"/>
      <c r="H1536" s="2"/>
    </row>
    <row r="1537" spans="1:8" ht="45" hidden="1" customHeight="1" x14ac:dyDescent="0.25">
      <c r="A1537" s="354">
        <v>1</v>
      </c>
      <c r="B1537" s="131" t="e">
        <f t="shared" si="40"/>
        <v>#REF!</v>
      </c>
      <c r="C1537" s="615" t="s">
        <v>341</v>
      </c>
      <c r="D1537" s="380"/>
      <c r="E1537" s="53">
        <v>80</v>
      </c>
      <c r="F1537" s="2"/>
      <c r="G1537" s="2"/>
      <c r="H1537" s="2"/>
    </row>
    <row r="1538" spans="1:8" ht="45" hidden="1" customHeight="1" x14ac:dyDescent="0.25">
      <c r="A1538" s="354">
        <v>1</v>
      </c>
      <c r="B1538" s="131" t="e">
        <f t="shared" si="40"/>
        <v>#REF!</v>
      </c>
      <c r="C1538" s="615" t="s">
        <v>342</v>
      </c>
      <c r="D1538" s="380"/>
      <c r="E1538" s="53">
        <v>30</v>
      </c>
      <c r="F1538" s="2"/>
      <c r="G1538" s="2"/>
      <c r="H1538" s="2"/>
    </row>
    <row r="1539" spans="1:8" ht="45" hidden="1" customHeight="1" x14ac:dyDescent="0.25">
      <c r="A1539" s="354">
        <v>1</v>
      </c>
      <c r="B1539" s="131" t="e">
        <f t="shared" si="40"/>
        <v>#REF!</v>
      </c>
      <c r="C1539" s="615" t="s">
        <v>343</v>
      </c>
      <c r="D1539" s="380"/>
      <c r="E1539" s="53">
        <v>160</v>
      </c>
      <c r="F1539" s="2"/>
      <c r="G1539" s="2"/>
      <c r="H1539" s="2"/>
    </row>
    <row r="1540" spans="1:8" ht="60" hidden="1" customHeight="1" x14ac:dyDescent="0.25">
      <c r="A1540" s="354">
        <v>1</v>
      </c>
      <c r="B1540" s="131" t="e">
        <f t="shared" si="40"/>
        <v>#REF!</v>
      </c>
      <c r="C1540" s="615" t="s">
        <v>344</v>
      </c>
      <c r="D1540" s="380"/>
      <c r="E1540" s="53">
        <v>10</v>
      </c>
      <c r="F1540" s="2"/>
      <c r="G1540" s="2"/>
      <c r="H1540" s="2"/>
    </row>
    <row r="1541" spans="1:8" ht="60" hidden="1" customHeight="1" x14ac:dyDescent="0.25">
      <c r="A1541" s="354">
        <v>1</v>
      </c>
      <c r="B1541" s="131" t="e">
        <f t="shared" si="40"/>
        <v>#REF!</v>
      </c>
      <c r="C1541" s="615" t="s">
        <v>345</v>
      </c>
      <c r="D1541" s="380"/>
      <c r="E1541" s="53">
        <v>10</v>
      </c>
      <c r="F1541" s="2"/>
      <c r="G1541" s="2"/>
      <c r="H1541" s="2"/>
    </row>
    <row r="1542" spans="1:8" ht="15.75" hidden="1" customHeight="1" x14ac:dyDescent="0.25">
      <c r="A1542" s="354"/>
      <c r="B1542" s="131"/>
      <c r="C1542" s="21" t="s">
        <v>197</v>
      </c>
      <c r="D1542" s="380"/>
      <c r="E1542" s="53">
        <f>E1534</f>
        <v>300</v>
      </c>
      <c r="F1542" s="2"/>
      <c r="G1542" s="2"/>
      <c r="H1542" s="2"/>
    </row>
    <row r="1543" spans="1:8" ht="15.75" hidden="1" customHeight="1" x14ac:dyDescent="0.25">
      <c r="A1543" s="354">
        <v>1</v>
      </c>
      <c r="B1543" s="131" t="e">
        <f>B1541+1</f>
        <v>#REF!</v>
      </c>
      <c r="C1543" s="30" t="s">
        <v>112</v>
      </c>
      <c r="D1543" s="18"/>
      <c r="E1543" s="610">
        <f>E1534*10</f>
        <v>3000</v>
      </c>
      <c r="F1543" s="18"/>
      <c r="G1543" s="18"/>
      <c r="H1543" s="29"/>
    </row>
    <row r="1544" spans="1:8" ht="15.75" hidden="1" customHeight="1" x14ac:dyDescent="0.25">
      <c r="A1544" s="354">
        <v>1</v>
      </c>
      <c r="B1544" s="131" t="e">
        <f t="shared" si="40"/>
        <v>#REF!</v>
      </c>
      <c r="C1544" s="44" t="s">
        <v>93</v>
      </c>
      <c r="D1544" s="18"/>
      <c r="E1544" s="583"/>
      <c r="F1544" s="18"/>
      <c r="G1544" s="306"/>
      <c r="H1544" s="29"/>
    </row>
    <row r="1545" spans="1:8" ht="15.75" hidden="1" customHeight="1" x14ac:dyDescent="0.25">
      <c r="A1545" s="354">
        <v>1</v>
      </c>
      <c r="B1545" s="131" t="e">
        <f t="shared" si="40"/>
        <v>#REF!</v>
      </c>
      <c r="C1545" s="539" t="s">
        <v>92</v>
      </c>
      <c r="D1545" s="18">
        <v>300</v>
      </c>
      <c r="E1545" s="53">
        <v>750</v>
      </c>
      <c r="F1545" s="307">
        <v>10</v>
      </c>
      <c r="G1545" s="2">
        <f>ROUND(H1545/D1545,0)</f>
        <v>25</v>
      </c>
      <c r="H1545" s="2">
        <f>ROUND(E1545*F1545,0)</f>
        <v>7500</v>
      </c>
    </row>
    <row r="1546" spans="1:8" ht="15.75" hidden="1" customHeight="1" x14ac:dyDescent="0.25">
      <c r="A1546" s="354">
        <v>1</v>
      </c>
      <c r="B1546" s="131" t="e">
        <f t="shared" si="40"/>
        <v>#REF!</v>
      </c>
      <c r="C1546" s="706" t="s">
        <v>9</v>
      </c>
      <c r="D1546" s="18">
        <v>300</v>
      </c>
      <c r="E1546" s="53">
        <f>SUM(E1545)</f>
        <v>750</v>
      </c>
      <c r="F1546" s="307">
        <f>H1546/E1546</f>
        <v>10</v>
      </c>
      <c r="G1546" s="2">
        <f>G1545</f>
        <v>25</v>
      </c>
      <c r="H1546" s="2">
        <f>H1545</f>
        <v>7500</v>
      </c>
    </row>
    <row r="1547" spans="1:8" ht="15.75" hidden="1" customHeight="1" x14ac:dyDescent="0.25">
      <c r="A1547" s="354">
        <v>1</v>
      </c>
      <c r="B1547" s="131" t="e">
        <f t="shared" si="40"/>
        <v>#REF!</v>
      </c>
      <c r="C1547" s="548" t="s">
        <v>88</v>
      </c>
      <c r="D1547" s="18"/>
      <c r="E1547" s="508">
        <f>E1546</f>
        <v>750</v>
      </c>
      <c r="F1547" s="158">
        <f>H1547/E1547</f>
        <v>10</v>
      </c>
      <c r="G1547" s="29">
        <f>G1546</f>
        <v>25</v>
      </c>
      <c r="H1547" s="29">
        <f>H1546</f>
        <v>7500</v>
      </c>
    </row>
    <row r="1548" spans="1:8" ht="16.5" hidden="1" customHeight="1" thickBot="1" x14ac:dyDescent="0.3">
      <c r="A1548" s="354">
        <v>1</v>
      </c>
      <c r="B1548" s="131" t="e">
        <f t="shared" si="40"/>
        <v>#REF!</v>
      </c>
      <c r="C1548" s="495" t="s">
        <v>213</v>
      </c>
      <c r="D1548" s="381"/>
      <c r="E1548" s="616"/>
      <c r="F1548" s="381"/>
      <c r="G1548" s="381"/>
      <c r="H1548" s="381"/>
    </row>
    <row r="1549" spans="1:8" ht="15.75" hidden="1" customHeight="1" x14ac:dyDescent="0.25">
      <c r="A1549" s="354">
        <v>1</v>
      </c>
      <c r="B1549" s="131" t="e">
        <f t="shared" si="40"/>
        <v>#REF!</v>
      </c>
      <c r="C1549" s="386"/>
      <c r="D1549" s="387"/>
      <c r="E1549" s="388"/>
      <c r="F1549" s="51"/>
      <c r="G1549" s="51"/>
      <c r="H1549" s="51"/>
    </row>
    <row r="1550" spans="1:8" ht="16.5" hidden="1" customHeight="1" thickBot="1" x14ac:dyDescent="0.3">
      <c r="A1550" s="354">
        <v>1</v>
      </c>
      <c r="B1550" s="131" t="e">
        <f t="shared" si="40"/>
        <v>#REF!</v>
      </c>
      <c r="C1550" s="464"/>
      <c r="D1550" s="465"/>
    </row>
    <row r="1551" spans="1:8" ht="15.75" hidden="1" customHeight="1" x14ac:dyDescent="0.25">
      <c r="A1551" s="354">
        <v>1</v>
      </c>
      <c r="B1551" s="131" t="e">
        <f t="shared" si="40"/>
        <v>#REF!</v>
      </c>
      <c r="C1551" s="714" t="s">
        <v>156</v>
      </c>
      <c r="D1551" s="715"/>
      <c r="E1551" s="716"/>
      <c r="F1551" s="715"/>
      <c r="G1551" s="715"/>
      <c r="H1551" s="717"/>
    </row>
    <row r="1552" spans="1:8" ht="15.75" hidden="1" customHeight="1" x14ac:dyDescent="0.25">
      <c r="A1552" s="354">
        <v>1</v>
      </c>
      <c r="B1552" s="131" t="e">
        <f t="shared" si="40"/>
        <v>#REF!</v>
      </c>
      <c r="C1552" s="718" t="s">
        <v>157</v>
      </c>
      <c r="D1552" s="719"/>
      <c r="E1552" s="720">
        <f>SUM(E1406,E1531,E1232,E538,E371,E334,E295,E237,E170,E143,E39,E15)</f>
        <v>45565</v>
      </c>
      <c r="F1552" s="721">
        <f>H1552/E1552</f>
        <v>8.5786019971469329</v>
      </c>
      <c r="G1552" s="720">
        <f>SUM(G1406,G1531,G1232,G538,G371,G334,G295,G237,G170,G143,G39,G15)</f>
        <v>1190</v>
      </c>
      <c r="H1552" s="722">
        <f>SUM(H1406,H1531,H1232,H538,H371,H334,H295,H237,H170,H143,H39,H15)</f>
        <v>390884</v>
      </c>
    </row>
    <row r="1553" spans="1:8" ht="29.25" hidden="1" customHeight="1" x14ac:dyDescent="0.25">
      <c r="A1553" s="354">
        <v>1</v>
      </c>
      <c r="B1553" s="131" t="e">
        <f t="shared" si="40"/>
        <v>#REF!</v>
      </c>
      <c r="C1553" s="723" t="s">
        <v>158</v>
      </c>
      <c r="D1553" s="719"/>
      <c r="E1553" s="720">
        <f>SUM(E1233,E144,E40,E16)</f>
        <v>973</v>
      </c>
      <c r="F1553" s="719"/>
      <c r="G1553" s="719"/>
      <c r="H1553" s="722"/>
    </row>
    <row r="1554" spans="1:8" ht="15.75" hidden="1" customHeight="1" x14ac:dyDescent="0.25">
      <c r="A1554" s="354">
        <v>1</v>
      </c>
      <c r="B1554" s="131" t="e">
        <f t="shared" si="40"/>
        <v>#REF!</v>
      </c>
      <c r="C1554" s="718" t="s">
        <v>159</v>
      </c>
      <c r="D1554" s="719"/>
      <c r="E1554" s="720">
        <f>E1531</f>
        <v>2800</v>
      </c>
      <c r="F1554" s="719"/>
      <c r="G1554" s="719"/>
      <c r="H1554" s="722"/>
    </row>
    <row r="1555" spans="1:8" ht="60" hidden="1" customHeight="1" x14ac:dyDescent="0.25">
      <c r="A1555" s="354">
        <v>1</v>
      </c>
      <c r="B1555" s="131" t="e">
        <f t="shared" si="40"/>
        <v>#REF!</v>
      </c>
      <c r="C1555" s="724" t="s">
        <v>250</v>
      </c>
      <c r="D1555" s="719"/>
      <c r="E1555" s="720"/>
      <c r="F1555" s="719"/>
      <c r="G1555" s="719"/>
      <c r="H1555" s="722"/>
    </row>
    <row r="1556" spans="1:8" ht="15.75" hidden="1" customHeight="1" x14ac:dyDescent="0.25">
      <c r="A1556" s="354">
        <v>1</v>
      </c>
      <c r="B1556" s="131" t="e">
        <f t="shared" si="40"/>
        <v>#REF!</v>
      </c>
      <c r="C1556" s="725" t="s">
        <v>192</v>
      </c>
      <c r="D1556" s="719"/>
      <c r="E1556" s="720">
        <f>SUM(E1472,E1408,E1343,E1235,E1162,E1089,E1037,E983,E875,E816,E750,E690,E628,E540,E475,E407,E239,E172,E42)</f>
        <v>509103</v>
      </c>
      <c r="F1556" s="719"/>
      <c r="G1556" s="719"/>
      <c r="H1556" s="722"/>
    </row>
    <row r="1557" spans="1:8" ht="15.75" hidden="1" customHeight="1" x14ac:dyDescent="0.25">
      <c r="A1557" s="354">
        <v>1</v>
      </c>
      <c r="B1557" s="131" t="e">
        <f t="shared" si="40"/>
        <v>#REF!</v>
      </c>
      <c r="C1557" s="726" t="s">
        <v>116</v>
      </c>
      <c r="D1557" s="719"/>
      <c r="E1557" s="720">
        <f>SUM(E1038,E541,E751)</f>
        <v>7955</v>
      </c>
      <c r="F1557" s="720"/>
      <c r="G1557" s="719"/>
      <c r="H1557" s="722"/>
    </row>
    <row r="1558" spans="1:8" ht="30" hidden="1" customHeight="1" x14ac:dyDescent="0.25">
      <c r="A1558" s="354">
        <v>1</v>
      </c>
      <c r="B1558" s="131" t="e">
        <f t="shared" si="40"/>
        <v>#REF!</v>
      </c>
      <c r="C1558" s="679" t="s">
        <v>397</v>
      </c>
      <c r="D1558" s="719"/>
      <c r="E1558" s="720">
        <f>SUM(E1474,E1410,E1345,E1237,E1164,E1091,E1039,E985,E877,E818,E752,E692,E630,E542,E477,E409,E241,E174,E44)</f>
        <v>264680</v>
      </c>
      <c r="F1558" s="719"/>
      <c r="G1558" s="719"/>
      <c r="H1558" s="722"/>
    </row>
    <row r="1559" spans="1:8" ht="45" hidden="1" customHeight="1" x14ac:dyDescent="0.25">
      <c r="A1559" s="354">
        <v>1</v>
      </c>
      <c r="B1559" s="131" t="e">
        <f t="shared" si="40"/>
        <v>#REF!</v>
      </c>
      <c r="C1559" s="679" t="s">
        <v>398</v>
      </c>
      <c r="D1559" s="719"/>
      <c r="E1559" s="720">
        <f>SUM(E1475,E1411,E1346,E1238,E1165,E1092,E1040,E986,E878,E819,E753,E693,E631,E543,E478,E410,E242,E175,E45)</f>
        <v>20300</v>
      </c>
      <c r="F1559" s="719"/>
      <c r="G1559" s="719"/>
      <c r="H1559" s="722"/>
    </row>
    <row r="1560" spans="1:8" ht="45" hidden="1" customHeight="1" x14ac:dyDescent="0.25">
      <c r="A1560" s="354">
        <v>1</v>
      </c>
      <c r="B1560" s="131" t="e">
        <f t="shared" si="40"/>
        <v>#REF!</v>
      </c>
      <c r="C1560" s="679" t="s">
        <v>399</v>
      </c>
      <c r="D1560" s="719"/>
      <c r="E1560" s="720">
        <f>SUM(E1412,E1476,E1347,E1239,E1166,E1093,E1041,E987,E879,E820,E754,E694,E632,E544,E479,E411,E243,E176,E46)</f>
        <v>159974</v>
      </c>
      <c r="F1560" s="719"/>
      <c r="G1560" s="719"/>
      <c r="H1560" s="722"/>
    </row>
    <row r="1561" spans="1:8" ht="75" hidden="1" customHeight="1" x14ac:dyDescent="0.25">
      <c r="A1561" s="354">
        <v>1</v>
      </c>
      <c r="B1561" s="131" t="e">
        <f t="shared" si="40"/>
        <v>#REF!</v>
      </c>
      <c r="C1561" s="679" t="s">
        <v>400</v>
      </c>
      <c r="D1561" s="719"/>
      <c r="E1561" s="720">
        <f>SUM(E1477,E1413,E1348,E1240,E1167,E1094,E1042,E988,E880,E821,E755,E695,E633,E545,E480,E412,E244,E177,E47)</f>
        <v>56994</v>
      </c>
      <c r="F1561" s="719"/>
      <c r="G1561" s="719"/>
      <c r="H1561" s="722"/>
    </row>
    <row r="1562" spans="1:8" ht="15.75" hidden="1" customHeight="1" x14ac:dyDescent="0.25">
      <c r="A1562" s="354">
        <v>1</v>
      </c>
      <c r="B1562" s="131" t="e">
        <f t="shared" si="40"/>
        <v>#REF!</v>
      </c>
      <c r="C1562" s="727" t="s">
        <v>90</v>
      </c>
      <c r="D1562" s="719"/>
      <c r="E1562" s="728">
        <f>SUM(E1478,E1414,E1349,E1241,E1168,E1095,E1043,E989,E881,E822,E756,E696,E634,E546,E481,E413,E245,E178,E48)</f>
        <v>857667</v>
      </c>
      <c r="F1562" s="720"/>
      <c r="G1562" s="719"/>
      <c r="H1562" s="722"/>
    </row>
    <row r="1563" spans="1:8" ht="15.75" hidden="1" customHeight="1" x14ac:dyDescent="0.25">
      <c r="A1563" s="354">
        <v>1</v>
      </c>
      <c r="B1563" s="131" t="e">
        <f t="shared" si="40"/>
        <v>#REF!</v>
      </c>
      <c r="C1563" s="679" t="s">
        <v>145</v>
      </c>
      <c r="D1563" s="719"/>
      <c r="E1563" s="720">
        <f>SUM(E1479,E1415,E1350,E1242,E1169,E1096,E1044,E990,E882,E823,E757,E697,E635,E547,E482,E414,E246,E179,E49)</f>
        <v>788915</v>
      </c>
      <c r="F1563" s="719"/>
      <c r="G1563" s="719"/>
      <c r="H1563" s="722"/>
    </row>
    <row r="1564" spans="1:8" ht="45" hidden="1" x14ac:dyDescent="0.25">
      <c r="A1564" s="354">
        <v>1</v>
      </c>
      <c r="B1564" s="131" t="e">
        <f t="shared" si="40"/>
        <v>#REF!</v>
      </c>
      <c r="C1564" s="679" t="s">
        <v>414</v>
      </c>
      <c r="D1564" s="719"/>
      <c r="E1564" s="720">
        <f>SUM(E1482,E1416,E1351,E1243,E1170,E1097,E1045,E991,E883,E824,E758,E698,E636,E548,E483,E415,E247,E180,E50,E1480)</f>
        <v>36315</v>
      </c>
      <c r="F1564" s="719"/>
      <c r="G1564" s="719"/>
      <c r="H1564" s="722"/>
    </row>
    <row r="1565" spans="1:8" ht="60" hidden="1" x14ac:dyDescent="0.25">
      <c r="A1565" s="354"/>
      <c r="B1565" s="131"/>
      <c r="C1565" s="679" t="s">
        <v>421</v>
      </c>
      <c r="D1565" s="719"/>
      <c r="E1565" s="720">
        <f>SUM(E1481,E1417,E1352,E1244,E884,E825,E759,E699,E637,E549,E484,E416,E51)</f>
        <v>32437</v>
      </c>
      <c r="F1565" s="719"/>
      <c r="G1565" s="719"/>
      <c r="H1565" s="722"/>
    </row>
    <row r="1566" spans="1:8" ht="15.75" hidden="1" customHeight="1" x14ac:dyDescent="0.25">
      <c r="A1566" s="354">
        <v>1</v>
      </c>
      <c r="B1566" s="131" t="e">
        <f>B1564+1</f>
        <v>#REF!</v>
      </c>
      <c r="C1566" s="729" t="s">
        <v>98</v>
      </c>
      <c r="D1566" s="719"/>
      <c r="E1566" s="720"/>
      <c r="F1566" s="719"/>
      <c r="G1566" s="719"/>
      <c r="H1566" s="722"/>
    </row>
    <row r="1567" spans="1:8" ht="47.25" hidden="1" customHeight="1" x14ac:dyDescent="0.25">
      <c r="A1567" s="354">
        <v>1</v>
      </c>
      <c r="B1567" s="131" t="e">
        <f t="shared" si="40"/>
        <v>#REF!</v>
      </c>
      <c r="C1567" s="679" t="s">
        <v>420</v>
      </c>
      <c r="D1567" s="719"/>
      <c r="E1567" s="720">
        <f>SUM(E1483,E1419,E1354,E1246,E886,E827,E761,E701,E639,E551,E486,E418,E53)</f>
        <v>163323</v>
      </c>
      <c r="F1567" s="719"/>
      <c r="G1567" s="719"/>
      <c r="H1567" s="722"/>
    </row>
    <row r="1568" spans="1:8" ht="47.25" hidden="1" customHeight="1" x14ac:dyDescent="0.25">
      <c r="A1568" s="354">
        <v>1</v>
      </c>
      <c r="B1568" s="131" t="e">
        <f t="shared" si="40"/>
        <v>#REF!</v>
      </c>
      <c r="C1568" s="730" t="s">
        <v>333</v>
      </c>
      <c r="D1568" s="719"/>
      <c r="E1568" s="728">
        <f>SUM(E1420,E1484,E1355,E1247,E1172,E1099,E1047,E993,E887,E828,E762,E702,E640,E552,E487,E419,E249,E182,E54)</f>
        <v>395145</v>
      </c>
      <c r="F1568" s="719"/>
      <c r="G1568" s="719"/>
      <c r="H1568" s="722"/>
    </row>
    <row r="1569" spans="1:8" ht="30" hidden="1" customHeight="1" x14ac:dyDescent="0.25">
      <c r="A1569" s="354">
        <v>1</v>
      </c>
      <c r="B1569" s="131" t="e">
        <f t="shared" si="40"/>
        <v>#REF!</v>
      </c>
      <c r="C1569" s="731" t="s">
        <v>193</v>
      </c>
      <c r="D1569" s="719"/>
      <c r="E1569" s="720">
        <f>SUM(E1485,E1421,E1356,E1248,E1173,E1100,E1048,E994,E888,E829,E763,E703,E641,E553,E488,E420,E250,E183,E55)</f>
        <v>209880</v>
      </c>
      <c r="F1569" s="719"/>
      <c r="G1569" s="719"/>
      <c r="H1569" s="722"/>
    </row>
    <row r="1570" spans="1:8" ht="30" hidden="1" customHeight="1" x14ac:dyDescent="0.25">
      <c r="A1570" s="354">
        <v>1</v>
      </c>
      <c r="B1570" s="131" t="e">
        <f t="shared" si="40"/>
        <v>#REF!</v>
      </c>
      <c r="C1570" s="679" t="s">
        <v>334</v>
      </c>
      <c r="D1570" s="719"/>
      <c r="E1570" s="720">
        <f>SUM(E1486,E1422,E1357,E1249,E1174,E1101,E1049,E995,E889,E830,E764,E704,E642,E554,E489,E421,E251,E184,E56)</f>
        <v>173605</v>
      </c>
      <c r="F1570" s="719"/>
      <c r="G1570" s="719"/>
      <c r="H1570" s="722"/>
    </row>
    <row r="1571" spans="1:8" ht="45" hidden="1" customHeight="1" x14ac:dyDescent="0.25">
      <c r="A1571" s="354">
        <v>1</v>
      </c>
      <c r="B1571" s="131" t="e">
        <f t="shared" si="40"/>
        <v>#REF!</v>
      </c>
      <c r="C1571" s="679" t="s">
        <v>402</v>
      </c>
      <c r="D1571" s="719"/>
      <c r="E1571" s="720"/>
      <c r="F1571" s="719"/>
      <c r="G1571" s="719"/>
      <c r="H1571" s="722"/>
    </row>
    <row r="1572" spans="1:8" ht="30" hidden="1" customHeight="1" x14ac:dyDescent="0.25">
      <c r="A1572" s="354">
        <v>1</v>
      </c>
      <c r="B1572" s="131" t="e">
        <f t="shared" si="40"/>
        <v>#REF!</v>
      </c>
      <c r="C1572" s="679" t="s">
        <v>380</v>
      </c>
      <c r="D1572" s="719"/>
      <c r="E1572" s="720">
        <f>SUM(E1488,E1424,E1359,E1251,E891,E832,E766,E706,E644,E556,E491,E423,E58)</f>
        <v>34860</v>
      </c>
      <c r="F1572" s="719"/>
      <c r="G1572" s="719"/>
      <c r="H1572" s="722"/>
    </row>
    <row r="1573" spans="1:8" ht="30" hidden="1" customHeight="1" x14ac:dyDescent="0.25">
      <c r="A1573" s="354">
        <v>1</v>
      </c>
      <c r="B1573" s="131" t="e">
        <f t="shared" si="40"/>
        <v>#REF!</v>
      </c>
      <c r="C1573" s="679" t="s">
        <v>381</v>
      </c>
      <c r="D1573" s="719"/>
      <c r="E1573" s="720">
        <f>SUM(E1489,E1425,E1360,E1252,E892,E833,E767,E707,E645,E557,E492,E424,E59)</f>
        <v>0</v>
      </c>
      <c r="F1573" s="719"/>
      <c r="G1573" s="719"/>
      <c r="H1573" s="722"/>
    </row>
    <row r="1574" spans="1:8" ht="30" hidden="1" customHeight="1" x14ac:dyDescent="0.25">
      <c r="A1574" s="354">
        <v>1</v>
      </c>
      <c r="B1574" s="131" t="e">
        <f t="shared" si="40"/>
        <v>#REF!</v>
      </c>
      <c r="C1574" s="679" t="s">
        <v>382</v>
      </c>
      <c r="D1574" s="719"/>
      <c r="E1574" s="720">
        <f t="shared" ref="E1574:E1579" si="42">SUM(E1490,E1426,E1361,E1253,E1176,E1103,E1051,E997,E893,E834,E768,E708,E646,E558,E493,E425,E253,E186,E60)</f>
        <v>531</v>
      </c>
      <c r="F1574" s="719"/>
      <c r="G1574" s="719"/>
      <c r="H1574" s="722"/>
    </row>
    <row r="1575" spans="1:8" ht="30" hidden="1" customHeight="1" x14ac:dyDescent="0.25">
      <c r="A1575" s="354">
        <v>1</v>
      </c>
      <c r="B1575" s="131" t="e">
        <f t="shared" si="40"/>
        <v>#REF!</v>
      </c>
      <c r="C1575" s="679" t="s">
        <v>383</v>
      </c>
      <c r="D1575" s="719"/>
      <c r="E1575" s="720">
        <f t="shared" si="42"/>
        <v>884</v>
      </c>
      <c r="F1575" s="719"/>
      <c r="G1575" s="719"/>
      <c r="H1575" s="722"/>
    </row>
    <row r="1576" spans="1:8" ht="30" hidden="1" customHeight="1" x14ac:dyDescent="0.25">
      <c r="A1576" s="354">
        <v>1</v>
      </c>
      <c r="B1576" s="131" t="e">
        <f t="shared" si="40"/>
        <v>#REF!</v>
      </c>
      <c r="C1576" s="732" t="s">
        <v>194</v>
      </c>
      <c r="D1576" s="719"/>
      <c r="E1576" s="720">
        <f t="shared" si="42"/>
        <v>185265</v>
      </c>
      <c r="F1576" s="719"/>
      <c r="G1576" s="719"/>
      <c r="H1576" s="722"/>
    </row>
    <row r="1577" spans="1:8" ht="30" hidden="1" customHeight="1" x14ac:dyDescent="0.25">
      <c r="A1577" s="354">
        <v>1</v>
      </c>
      <c r="B1577" s="131" t="e">
        <f t="shared" si="40"/>
        <v>#REF!</v>
      </c>
      <c r="C1577" s="679" t="s">
        <v>384</v>
      </c>
      <c r="D1577" s="719"/>
      <c r="E1577" s="720">
        <f t="shared" si="42"/>
        <v>45661</v>
      </c>
      <c r="F1577" s="719"/>
      <c r="G1577" s="719"/>
      <c r="H1577" s="722"/>
    </row>
    <row r="1578" spans="1:8" ht="45" hidden="1" customHeight="1" x14ac:dyDescent="0.25">
      <c r="A1578" s="354">
        <v>1</v>
      </c>
      <c r="B1578" s="131" t="e">
        <f t="shared" si="40"/>
        <v>#REF!</v>
      </c>
      <c r="C1578" s="679" t="s">
        <v>385</v>
      </c>
      <c r="D1578" s="719"/>
      <c r="E1578" s="720">
        <f t="shared" si="42"/>
        <v>109199</v>
      </c>
      <c r="F1578" s="719"/>
      <c r="G1578" s="719"/>
      <c r="H1578" s="722"/>
    </row>
    <row r="1579" spans="1:8" ht="45" hidden="1" customHeight="1" x14ac:dyDescent="0.25">
      <c r="A1579" s="354">
        <v>1</v>
      </c>
      <c r="B1579" s="131" t="e">
        <f t="shared" si="40"/>
        <v>#REF!</v>
      </c>
      <c r="C1579" s="679" t="s">
        <v>386</v>
      </c>
      <c r="D1579" s="719"/>
      <c r="E1579" s="720">
        <f t="shared" si="42"/>
        <v>30405</v>
      </c>
      <c r="F1579" s="719"/>
      <c r="G1579" s="719"/>
      <c r="H1579" s="722"/>
    </row>
    <row r="1580" spans="1:8" ht="15.75" hidden="1" customHeight="1" x14ac:dyDescent="0.25">
      <c r="A1580" s="354">
        <v>1</v>
      </c>
      <c r="B1580" s="131" t="e">
        <f t="shared" si="40"/>
        <v>#REF!</v>
      </c>
      <c r="C1580" s="725" t="s">
        <v>251</v>
      </c>
      <c r="D1580" s="719"/>
      <c r="E1580" s="720">
        <f>SUM(E1496,E1432,E1367,E1259,E1182,E1148,E1109,E1057,E1003,E970,E954,E939,E899,E840,E774,E714,E653,E564,E499,E431,E373,E336,E297,E259,E192,E66)</f>
        <v>206014.25</v>
      </c>
      <c r="F1580" s="719"/>
      <c r="G1580" s="719"/>
      <c r="H1580" s="722"/>
    </row>
    <row r="1581" spans="1:8" ht="15.75" hidden="1" customHeight="1" x14ac:dyDescent="0.25">
      <c r="A1581" s="354">
        <v>1</v>
      </c>
      <c r="B1581" s="131" t="e">
        <f t="shared" si="40"/>
        <v>#REF!</v>
      </c>
      <c r="C1581" s="679" t="s">
        <v>252</v>
      </c>
      <c r="D1581" s="719"/>
      <c r="E1581" s="720">
        <f>SUM(E1497,E1433,E1368,E1260,E1183,E1110,E1058,E1004,E900,E841,E775,E715,E654,E565,E500,E432,E374,E337,E298,E260,E193,E67)</f>
        <v>250</v>
      </c>
      <c r="F1581" s="719"/>
      <c r="G1581" s="719"/>
      <c r="H1581" s="722"/>
    </row>
    <row r="1582" spans="1:8" ht="30" hidden="1" customHeight="1" x14ac:dyDescent="0.25">
      <c r="A1582" s="354">
        <v>1</v>
      </c>
      <c r="B1582" s="131" t="e">
        <f t="shared" si="40"/>
        <v>#REF!</v>
      </c>
      <c r="C1582" s="731" t="s">
        <v>388</v>
      </c>
      <c r="D1582" s="719"/>
      <c r="E1582" s="720">
        <f>SUM(E1498,E1434,E1369,E1261,E1184,E1149,E1111,E1059,E1005,E971,E955,E940,E901,E842,E776,E716,E655,E566,E501,E433,E375,E338,E299,E261,E194,E68)</f>
        <v>129071.25</v>
      </c>
      <c r="F1582" s="733"/>
      <c r="G1582" s="719"/>
      <c r="H1582" s="722"/>
    </row>
    <row r="1583" spans="1:8" s="145" customFormat="1" ht="15.75" hidden="1" customHeight="1" x14ac:dyDescent="0.25">
      <c r="A1583" s="354">
        <v>1</v>
      </c>
      <c r="B1583" s="131" t="e">
        <f t="shared" si="40"/>
        <v>#REF!</v>
      </c>
      <c r="C1583" s="679" t="s">
        <v>389</v>
      </c>
      <c r="D1583" s="734"/>
      <c r="E1583" s="735">
        <f>SUM(E1499,E1435,E1370,E1262,E1185,E1112,E1060,E1006,E902,E843,E777,E717,E656,E567,E502,E434,E376,E339,E300,E262,E195,E69)</f>
        <v>99601</v>
      </c>
      <c r="F1583" s="736"/>
      <c r="G1583" s="736"/>
      <c r="H1583" s="737"/>
    </row>
    <row r="1584" spans="1:8" ht="30" hidden="1" customHeight="1" x14ac:dyDescent="0.25">
      <c r="A1584" s="354">
        <v>1</v>
      </c>
      <c r="B1584" s="131" t="e">
        <f t="shared" si="40"/>
        <v>#REF!</v>
      </c>
      <c r="C1584" s="679" t="s">
        <v>390</v>
      </c>
      <c r="D1584" s="719"/>
      <c r="E1584" s="720">
        <f>SUM(E1500,E1436,E1371,E1263,E1186,E1150,E1113,E1061,E1007,E972,E956,E941,E903,E844,E778,E718,E657,E568,E503,E435,E377,E340,E301,E263,E196,E70)</f>
        <v>110681</v>
      </c>
      <c r="F1584" s="719"/>
      <c r="G1584" s="719"/>
      <c r="H1584" s="722"/>
    </row>
    <row r="1585" spans="1:9" ht="45" hidden="1" customHeight="1" x14ac:dyDescent="0.25">
      <c r="A1585" s="354">
        <v>1</v>
      </c>
      <c r="B1585" s="131" t="e">
        <f t="shared" ref="B1585:B1640" si="43">B1584+1</f>
        <v>#REF!</v>
      </c>
      <c r="C1585" s="679" t="s">
        <v>391</v>
      </c>
      <c r="D1585" s="719"/>
      <c r="E1585" s="720">
        <f>SUM(E1501,E1437,E1372,E1264,E1187,E1114,E1062,E1008,E904,E845,E779,E719,E658,E569,E504,E436,E378,E341,E302,E264,E197,E71)</f>
        <v>1800</v>
      </c>
      <c r="F1585" s="719"/>
      <c r="G1585" s="719"/>
      <c r="H1585" s="722"/>
    </row>
    <row r="1586" spans="1:9" ht="45" hidden="1" customHeight="1" x14ac:dyDescent="0.25">
      <c r="A1586" s="354">
        <v>1</v>
      </c>
      <c r="B1586" s="131" t="e">
        <f t="shared" si="43"/>
        <v>#REF!</v>
      </c>
      <c r="C1586" s="679" t="s">
        <v>392</v>
      </c>
      <c r="D1586" s="719"/>
      <c r="E1586" s="720">
        <f>SUBTOTAL(9,E1502,E1438,E1373,E1265,E1188,E1115,E1063,E1009,E905,E846,E780,E720,E659,E570,E505,E437,E379,E342,E303,E265,E198,E72)</f>
        <v>0</v>
      </c>
      <c r="F1586" s="719"/>
      <c r="G1586" s="719"/>
      <c r="H1586" s="722"/>
    </row>
    <row r="1587" spans="1:9" ht="45" hidden="1" customHeight="1" x14ac:dyDescent="0.25">
      <c r="A1587" s="354">
        <v>1</v>
      </c>
      <c r="B1587" s="131" t="e">
        <f t="shared" si="43"/>
        <v>#REF!</v>
      </c>
      <c r="C1587" s="726" t="s">
        <v>393</v>
      </c>
      <c r="D1587" s="719"/>
      <c r="E1587" s="720">
        <f>SUBTOTAL(9,E1503,E1439,E1374,E1266,E1189,E1116,E1064,E1010,E906,E847,E781,E721,E660,E571,E506,E438,E380,E343,E304,E266,E199,E73)</f>
        <v>9023</v>
      </c>
      <c r="F1587" s="719"/>
      <c r="G1587" s="719"/>
      <c r="H1587" s="722"/>
    </row>
    <row r="1588" spans="1:9" s="55" customFormat="1" ht="75" hidden="1" customHeight="1" x14ac:dyDescent="0.25">
      <c r="A1588" s="354">
        <v>1</v>
      </c>
      <c r="B1588" s="131" t="e">
        <f t="shared" si="43"/>
        <v>#REF!</v>
      </c>
      <c r="C1588" s="726" t="s">
        <v>394</v>
      </c>
      <c r="D1588" s="734"/>
      <c r="E1588" s="738">
        <f>SUM(E74,E507,E572,E661,E782,E848,E907,E1267,E1375,E722,E1440,E1504,E439)</f>
        <v>13398</v>
      </c>
      <c r="F1588" s="739"/>
      <c r="G1588" s="739"/>
      <c r="H1588" s="740"/>
    </row>
    <row r="1589" spans="1:9" s="55" customFormat="1" ht="30" hidden="1" customHeight="1" x14ac:dyDescent="0.25">
      <c r="A1589" s="354">
        <v>1</v>
      </c>
      <c r="B1589" s="131" t="e">
        <f t="shared" si="43"/>
        <v>#REF!</v>
      </c>
      <c r="C1589" s="726" t="s">
        <v>395</v>
      </c>
      <c r="D1589" s="734"/>
      <c r="E1589" s="738">
        <f>SUM(E1505,E1441,E1376,E1268,E908,E849,E783,E723,E662,E573,E508,E440,E75)</f>
        <v>52082</v>
      </c>
      <c r="F1589" s="739"/>
      <c r="G1589" s="739"/>
      <c r="H1589" s="740"/>
    </row>
    <row r="1590" spans="1:9" s="55" customFormat="1" ht="30" hidden="1" customHeight="1" x14ac:dyDescent="0.25">
      <c r="A1590" s="354"/>
      <c r="B1590" s="131"/>
      <c r="C1590" s="741" t="s">
        <v>422</v>
      </c>
      <c r="D1590" s="734"/>
      <c r="E1590" s="742">
        <f>E784+E574+E509+E441+E201+E76</f>
        <v>333</v>
      </c>
      <c r="F1590" s="743"/>
      <c r="G1590" s="743"/>
      <c r="H1590" s="740"/>
    </row>
    <row r="1591" spans="1:9" s="55" customFormat="1" ht="30" hidden="1" customHeight="1" x14ac:dyDescent="0.25">
      <c r="A1591" s="354"/>
      <c r="B1591" s="131"/>
      <c r="C1591" s="726" t="s">
        <v>423</v>
      </c>
      <c r="D1591" s="734"/>
      <c r="E1591" s="738">
        <f>E442+E77</f>
        <v>15</v>
      </c>
      <c r="F1591" s="739"/>
      <c r="G1591" s="739"/>
      <c r="H1591" s="740"/>
    </row>
    <row r="1592" spans="1:9" s="55" customFormat="1" ht="30" hidden="1" customHeight="1" x14ac:dyDescent="0.25">
      <c r="A1592" s="354"/>
      <c r="B1592" s="131"/>
      <c r="C1592" s="726" t="s">
        <v>424</v>
      </c>
      <c r="D1592" s="734"/>
      <c r="E1592" s="738">
        <f>E785+E575+E510+E443+E78</f>
        <v>273</v>
      </c>
      <c r="F1592" s="739"/>
      <c r="G1592" s="739"/>
      <c r="H1592" s="740"/>
    </row>
    <row r="1593" spans="1:9" s="55" customFormat="1" ht="30" hidden="1" customHeight="1" x14ac:dyDescent="0.25">
      <c r="A1593" s="354"/>
      <c r="B1593" s="131"/>
      <c r="C1593" s="726" t="s">
        <v>425</v>
      </c>
      <c r="D1593" s="734"/>
      <c r="E1593" s="738">
        <f>E202</f>
        <v>45</v>
      </c>
      <c r="F1593" s="739"/>
      <c r="G1593" s="739"/>
      <c r="H1593" s="740"/>
      <c r="I1593" s="466"/>
    </row>
    <row r="1594" spans="1:9" ht="15.75" hidden="1" customHeight="1" x14ac:dyDescent="0.25">
      <c r="A1594" s="354">
        <v>1</v>
      </c>
      <c r="B1594" s="131" t="e">
        <f>B1589+1</f>
        <v>#REF!</v>
      </c>
      <c r="C1594" s="725" t="s">
        <v>253</v>
      </c>
      <c r="D1594" s="719"/>
      <c r="E1594" s="728">
        <f>SUM(E1506,E1442,E1377,E1273,E1190,E1151,E1117,E1065,E1011,E973,E957,E942,E909,E850,E786,E724,E663,E576,E511,E444,E382,E345,E306,E268,E203,E79,E1533)</f>
        <v>208061.08510638299</v>
      </c>
      <c r="F1594" s="719"/>
      <c r="G1594" s="719"/>
      <c r="H1594" s="722"/>
    </row>
    <row r="1595" spans="1:9" ht="15.75" hidden="1" customHeight="1" x14ac:dyDescent="0.25">
      <c r="A1595" s="354">
        <v>1</v>
      </c>
      <c r="B1595" s="131" t="e">
        <f t="shared" si="43"/>
        <v>#REF!</v>
      </c>
      <c r="C1595" s="725" t="s">
        <v>254</v>
      </c>
      <c r="D1595" s="719"/>
      <c r="E1595" s="720">
        <f>SUM(E1507,E1443,E1378,E1274,E1191,E1118,E1066,E910,E1012,E787,E725,E664,E577,E512,E445,E383,E346,E307,E269,E204,E80)</f>
        <v>44173</v>
      </c>
      <c r="F1595" s="719"/>
      <c r="G1595" s="719"/>
      <c r="H1595" s="722"/>
    </row>
    <row r="1596" spans="1:9" ht="15.75" hidden="1" customHeight="1" x14ac:dyDescent="0.25">
      <c r="A1596" s="354">
        <v>1</v>
      </c>
      <c r="B1596" s="131" t="e">
        <f t="shared" si="43"/>
        <v>#REF!</v>
      </c>
      <c r="C1596" s="679" t="s">
        <v>255</v>
      </c>
      <c r="D1596" s="719"/>
      <c r="E1596" s="720">
        <f>SUM(E1508,E1444,E1379,E1275,E1192,E1152,E1119,E1067,E1013,E974,E958,E943,E911,E852,E788,E726,E665,E578,E513,E446,E384,E347,E308,E270,E205,E81)</f>
        <v>163468.08510638299</v>
      </c>
      <c r="F1596" s="719"/>
      <c r="G1596" s="719"/>
      <c r="H1596" s="722"/>
    </row>
    <row r="1597" spans="1:9" ht="15.75" hidden="1" customHeight="1" x14ac:dyDescent="0.25">
      <c r="A1597" s="354">
        <v>1</v>
      </c>
      <c r="B1597" s="131" t="e">
        <f t="shared" si="43"/>
        <v>#REF!</v>
      </c>
      <c r="C1597" s="744" t="s">
        <v>261</v>
      </c>
      <c r="D1597" s="719"/>
      <c r="E1597" s="720">
        <f>SUM(E1509,E1445,E1380,E1276,E1193,E1153,E1120,E1068,E1014,E975,E959,E944,E912,E853,E789,E727,E666,E579,E447,E385,E348,E309,E82)</f>
        <v>1524600</v>
      </c>
      <c r="F1597" s="720"/>
      <c r="G1597" s="719"/>
      <c r="H1597" s="722"/>
    </row>
    <row r="1598" spans="1:9" ht="15.75" hidden="1" customHeight="1" x14ac:dyDescent="0.25">
      <c r="A1598" s="354">
        <v>1</v>
      </c>
      <c r="B1598" s="131" t="e">
        <f t="shared" si="43"/>
        <v>#REF!</v>
      </c>
      <c r="C1598" s="744" t="s">
        <v>264</v>
      </c>
      <c r="D1598" s="719"/>
      <c r="E1598" s="720">
        <f>E960+E945+E976+E1154</f>
        <v>12000</v>
      </c>
      <c r="F1598" s="720"/>
      <c r="G1598" s="719"/>
      <c r="H1598" s="722"/>
    </row>
    <row r="1599" spans="1:9" ht="15.75" hidden="1" customHeight="1" x14ac:dyDescent="0.25">
      <c r="A1599" s="354">
        <v>1</v>
      </c>
      <c r="B1599" s="131" t="e">
        <f t="shared" si="43"/>
        <v>#REF!</v>
      </c>
      <c r="C1599" s="725" t="s">
        <v>417</v>
      </c>
      <c r="D1599" s="719"/>
      <c r="E1599" s="720">
        <f>E1534+E1121</f>
        <v>420</v>
      </c>
      <c r="F1599" s="720"/>
      <c r="G1599" s="719"/>
      <c r="H1599" s="722"/>
    </row>
    <row r="1600" spans="1:9" ht="29.25" hidden="1" customHeight="1" x14ac:dyDescent="0.25">
      <c r="A1600" s="354">
        <v>1</v>
      </c>
      <c r="B1600" s="131" t="e">
        <f t="shared" si="43"/>
        <v>#REF!</v>
      </c>
      <c r="C1600" s="725" t="s">
        <v>256</v>
      </c>
      <c r="D1600" s="719"/>
      <c r="E1600" s="720">
        <f>SUM(E1510,E1446,E1381,E1277,E1194,E1125,E1069,E1015,E913,E854,E790,E728,E667,E580,E514,E448,E386,E349,E310,E271,E206,E83,)</f>
        <v>269531</v>
      </c>
      <c r="F1600" s="719"/>
      <c r="G1600" s="719"/>
      <c r="H1600" s="722"/>
    </row>
    <row r="1601" spans="1:8" ht="15.75" hidden="1" customHeight="1" x14ac:dyDescent="0.25">
      <c r="A1601" s="354">
        <v>1</v>
      </c>
      <c r="B1601" s="131" t="e">
        <f t="shared" si="43"/>
        <v>#REF!</v>
      </c>
      <c r="C1601" s="680" t="s">
        <v>117</v>
      </c>
      <c r="D1601" s="719"/>
      <c r="E1601" s="720">
        <f>SUM(E1511,E1447,E1382,E1278,E1195,E1126,E1070,E1016,E914,E855,E791,E729,E668,E581,E515,E449,E387,E350,E311,E272,E207,E84)</f>
        <v>24500</v>
      </c>
      <c r="F1601" s="719"/>
      <c r="G1601" s="719"/>
      <c r="H1601" s="722"/>
    </row>
    <row r="1602" spans="1:8" ht="57.75" hidden="1" customHeight="1" x14ac:dyDescent="0.25">
      <c r="A1602" s="354">
        <v>1</v>
      </c>
      <c r="B1602" s="131" t="e">
        <f t="shared" si="43"/>
        <v>#REF!</v>
      </c>
      <c r="C1602" s="745" t="s">
        <v>259</v>
      </c>
      <c r="D1602" s="719"/>
      <c r="E1602" s="720">
        <f>SUM(E1512,E1448,E1383,E1279,E1196,E1127,E1071,E1017,E915,E856,E792,E730,E669,E582,E388,E351,E312,E273,E208,E85,E18)</f>
        <v>10142</v>
      </c>
      <c r="F1602" s="719"/>
      <c r="G1602" s="719"/>
      <c r="H1602" s="722"/>
    </row>
    <row r="1603" spans="1:8" ht="15.75" hidden="1" customHeight="1" x14ac:dyDescent="0.25">
      <c r="A1603" s="354">
        <v>1</v>
      </c>
      <c r="B1603" s="131" t="e">
        <f t="shared" si="43"/>
        <v>#REF!</v>
      </c>
      <c r="C1603" s="746" t="s">
        <v>165</v>
      </c>
      <c r="D1603" s="719"/>
      <c r="E1603" s="720">
        <f>SUM(E1513,E1449,E1384,E1280,E1197,E1128,E1072,E1018,E917,E857,E793,E731,E670,E583,E516,E450,E389,E274,E209,E147,E86,E352,E313)</f>
        <v>229596</v>
      </c>
      <c r="F1603" s="719"/>
      <c r="G1603" s="719"/>
      <c r="H1603" s="722"/>
    </row>
    <row r="1604" spans="1:8" ht="15.75" hidden="1" customHeight="1" x14ac:dyDescent="0.25">
      <c r="A1604" s="354">
        <v>1</v>
      </c>
      <c r="B1604" s="131" t="e">
        <f t="shared" si="43"/>
        <v>#REF!</v>
      </c>
      <c r="C1604" s="747" t="s">
        <v>17</v>
      </c>
      <c r="D1604" s="719"/>
      <c r="E1604" s="720">
        <f>E89+E151+E454+E589+E1287</f>
        <v>11020</v>
      </c>
      <c r="F1604" s="719"/>
      <c r="G1604" s="719"/>
      <c r="H1604" s="722"/>
    </row>
    <row r="1605" spans="1:8" ht="30" hidden="1" customHeight="1" x14ac:dyDescent="0.25">
      <c r="A1605" s="354">
        <v>1</v>
      </c>
      <c r="B1605" s="131" t="e">
        <f t="shared" si="43"/>
        <v>#REF!</v>
      </c>
      <c r="C1605" s="747" t="s">
        <v>139</v>
      </c>
      <c r="D1605" s="719"/>
      <c r="E1605" s="720">
        <f>E90+E152+E590+E1288+E455</f>
        <v>3255</v>
      </c>
      <c r="F1605" s="719"/>
      <c r="G1605" s="719"/>
      <c r="H1605" s="722"/>
    </row>
    <row r="1606" spans="1:8" ht="15.75" hidden="1" customHeight="1" x14ac:dyDescent="0.25">
      <c r="A1606" s="354">
        <v>1</v>
      </c>
      <c r="B1606" s="131" t="e">
        <f t="shared" si="43"/>
        <v>#REF!</v>
      </c>
      <c r="C1606" s="747" t="s">
        <v>30</v>
      </c>
      <c r="D1606" s="719"/>
      <c r="E1606" s="720">
        <f>E1291</f>
        <v>300</v>
      </c>
      <c r="F1606" s="719"/>
      <c r="G1606" s="719"/>
      <c r="H1606" s="722"/>
    </row>
    <row r="1607" spans="1:8" ht="30" hidden="1" customHeight="1" x14ac:dyDescent="0.25">
      <c r="A1607" s="354">
        <v>1</v>
      </c>
      <c r="B1607" s="131" t="e">
        <f t="shared" si="43"/>
        <v>#REF!</v>
      </c>
      <c r="C1607" s="747" t="s">
        <v>210</v>
      </c>
      <c r="D1607" s="719"/>
      <c r="E1607" s="720">
        <f>E1292</f>
        <v>20</v>
      </c>
      <c r="F1607" s="719"/>
      <c r="G1607" s="719"/>
      <c r="H1607" s="722"/>
    </row>
    <row r="1608" spans="1:8" ht="30" hidden="1" customHeight="1" x14ac:dyDescent="0.25">
      <c r="A1608" s="354">
        <v>1</v>
      </c>
      <c r="B1608" s="131" t="e">
        <f t="shared" si="43"/>
        <v>#REF!</v>
      </c>
      <c r="C1608" s="747" t="s">
        <v>205</v>
      </c>
      <c r="D1608" s="719"/>
      <c r="E1608" s="720">
        <f>SUM(E1514,E1450,E1385,E1305,E1198,E1073,E920,E858,E794,E732,E671,E597,E451,E275)+E95+E215+E1130</f>
        <v>13576</v>
      </c>
      <c r="F1608" s="719"/>
      <c r="G1608" s="719"/>
      <c r="H1608" s="722"/>
    </row>
    <row r="1609" spans="1:8" ht="30" hidden="1" customHeight="1" x14ac:dyDescent="0.25">
      <c r="A1609" s="354">
        <v>1</v>
      </c>
      <c r="B1609" s="131" t="e">
        <f t="shared" si="43"/>
        <v>#REF!</v>
      </c>
      <c r="C1609" s="747" t="s">
        <v>204</v>
      </c>
      <c r="D1609" s="719"/>
      <c r="E1609" s="720">
        <f>SUM(E1515,E1451,E1386,E1304,E1199,E1129,E1074,E1020,E919,E859,E795,E733,E672,E596,E518,E452,E276,E94,E155)</f>
        <v>18927</v>
      </c>
      <c r="F1609" s="719"/>
      <c r="G1609" s="719"/>
      <c r="H1609" s="722"/>
    </row>
    <row r="1610" spans="1:8" ht="15.75" hidden="1" customHeight="1" x14ac:dyDescent="0.25">
      <c r="A1610" s="354">
        <v>1</v>
      </c>
      <c r="B1610" s="131" t="e">
        <f t="shared" si="43"/>
        <v>#REF!</v>
      </c>
      <c r="C1610" s="747" t="s">
        <v>119</v>
      </c>
      <c r="D1610" s="719"/>
      <c r="E1610" s="720">
        <f>E1314+E673+E601+E519+E456+E277+E217+E157+E97</f>
        <v>8380</v>
      </c>
      <c r="F1610" s="719"/>
      <c r="G1610" s="719"/>
      <c r="H1610" s="722"/>
    </row>
    <row r="1611" spans="1:8" ht="15.75" hidden="1" customHeight="1" x14ac:dyDescent="0.25">
      <c r="A1611" s="354">
        <v>1</v>
      </c>
      <c r="B1611" s="131" t="e">
        <f t="shared" si="43"/>
        <v>#REF!</v>
      </c>
      <c r="C1611" s="747" t="s">
        <v>137</v>
      </c>
      <c r="D1611" s="719"/>
      <c r="E1611" s="720"/>
      <c r="F1611" s="719"/>
      <c r="G1611" s="719"/>
      <c r="H1611" s="722"/>
    </row>
    <row r="1612" spans="1:8" ht="30" hidden="1" customHeight="1" x14ac:dyDescent="0.25">
      <c r="A1612" s="354">
        <v>1</v>
      </c>
      <c r="B1612" s="131" t="e">
        <f t="shared" si="43"/>
        <v>#REF!</v>
      </c>
      <c r="C1612" s="747" t="s">
        <v>127</v>
      </c>
      <c r="D1612" s="719"/>
      <c r="E1612" s="720">
        <f>E1290+E153</f>
        <v>100</v>
      </c>
      <c r="F1612" s="719"/>
      <c r="G1612" s="719"/>
      <c r="H1612" s="722"/>
    </row>
    <row r="1613" spans="1:8" ht="15.75" hidden="1" customHeight="1" x14ac:dyDescent="0.25">
      <c r="A1613" s="354">
        <v>1</v>
      </c>
      <c r="B1613" s="131" t="e">
        <f t="shared" si="43"/>
        <v>#REF!</v>
      </c>
      <c r="C1613" s="747" t="s">
        <v>173</v>
      </c>
      <c r="D1613" s="719"/>
      <c r="E1613" s="720">
        <f>E1283+E586+E149+E87</f>
        <v>1050</v>
      </c>
      <c r="F1613" s="719"/>
      <c r="G1613" s="719"/>
      <c r="H1613" s="722"/>
    </row>
    <row r="1614" spans="1:8" ht="15.75" hidden="1" customHeight="1" x14ac:dyDescent="0.25">
      <c r="A1614" s="354">
        <v>1</v>
      </c>
      <c r="B1614" s="131" t="e">
        <f t="shared" si="43"/>
        <v>#REF!</v>
      </c>
      <c r="C1614" s="747" t="s">
        <v>331</v>
      </c>
      <c r="D1614" s="719"/>
      <c r="E1614" s="720"/>
      <c r="F1614" s="719"/>
      <c r="G1614" s="719"/>
      <c r="H1614" s="722"/>
    </row>
    <row r="1615" spans="1:8" ht="90" hidden="1" customHeight="1" x14ac:dyDescent="0.25">
      <c r="A1615" s="354">
        <v>1</v>
      </c>
      <c r="B1615" s="131" t="e">
        <f t="shared" si="43"/>
        <v>#REF!</v>
      </c>
      <c r="C1615" s="747" t="s">
        <v>267</v>
      </c>
      <c r="D1615" s="719"/>
      <c r="E1615" s="720">
        <f>E1297+E592+E92+E150</f>
        <v>910</v>
      </c>
      <c r="F1615" s="719"/>
      <c r="G1615" s="719"/>
      <c r="H1615" s="722"/>
    </row>
    <row r="1616" spans="1:8" ht="45" hidden="1" customHeight="1" x14ac:dyDescent="0.25">
      <c r="A1616" s="354">
        <v>1</v>
      </c>
      <c r="B1616" s="131" t="e">
        <f t="shared" si="43"/>
        <v>#REF!</v>
      </c>
      <c r="C1616" s="747" t="s">
        <v>242</v>
      </c>
      <c r="D1616" s="719"/>
      <c r="E1616" s="720">
        <f>E91+E453+E1296</f>
        <v>13750</v>
      </c>
      <c r="F1616" s="719"/>
      <c r="G1616" s="719"/>
      <c r="H1616" s="722"/>
    </row>
    <row r="1617" spans="1:8" ht="29.25" hidden="1" customHeight="1" x14ac:dyDescent="0.25">
      <c r="A1617" s="354">
        <v>1</v>
      </c>
      <c r="B1617" s="131" t="e">
        <f t="shared" si="43"/>
        <v>#REF!</v>
      </c>
      <c r="C1617" s="748" t="s">
        <v>266</v>
      </c>
      <c r="D1617" s="719"/>
      <c r="E1617" s="720"/>
      <c r="F1617" s="719"/>
      <c r="G1617" s="719"/>
      <c r="H1617" s="722"/>
    </row>
    <row r="1618" spans="1:8" ht="43.5" hidden="1" customHeight="1" x14ac:dyDescent="0.25">
      <c r="A1618" s="354">
        <v>1</v>
      </c>
      <c r="B1618" s="131" t="e">
        <f t="shared" si="43"/>
        <v>#REF!</v>
      </c>
      <c r="C1618" s="745" t="s">
        <v>396</v>
      </c>
      <c r="D1618" s="719"/>
      <c r="E1618" s="720">
        <f>E1567</f>
        <v>163323</v>
      </c>
      <c r="F1618" s="719"/>
      <c r="G1618" s="719"/>
      <c r="H1618" s="722"/>
    </row>
    <row r="1619" spans="1:8" ht="15.75" hidden="1" customHeight="1" x14ac:dyDescent="0.25">
      <c r="A1619" s="354">
        <v>1</v>
      </c>
      <c r="B1619" s="131" t="e">
        <f t="shared" si="43"/>
        <v>#REF!</v>
      </c>
      <c r="C1619" s="745" t="s">
        <v>195</v>
      </c>
      <c r="D1619" s="719"/>
      <c r="E1619" s="720">
        <f>SUM(E1517,E1453,E1388,E1316,E1200,E1155,E1131,E1075,E1021,E977,E961,E946,E923,E861,E800,E735,E675,E603,E522,E458,E393,E355,E316,E278,E220,E99)</f>
        <v>715117.25</v>
      </c>
      <c r="F1619" s="719"/>
      <c r="G1619" s="719"/>
      <c r="H1619" s="722"/>
    </row>
    <row r="1620" spans="1:8" ht="29.25" hidden="1" customHeight="1" x14ac:dyDescent="0.25">
      <c r="A1620" s="354">
        <v>1</v>
      </c>
      <c r="B1620" s="131" t="e">
        <f t="shared" si="43"/>
        <v>#REF!</v>
      </c>
      <c r="C1620" s="745" t="s">
        <v>196</v>
      </c>
      <c r="D1620" s="719"/>
      <c r="E1620" s="720">
        <f>SUM(E1518,E1454,E1389,E1317,E1201,E1132,E1076,E1022,E924,E862,E801,E736,E676,E604,E523,E459,E279,E221,E100)</f>
        <v>395145</v>
      </c>
      <c r="F1620" s="719"/>
      <c r="G1620" s="719"/>
      <c r="H1620" s="722"/>
    </row>
    <row r="1621" spans="1:8" ht="15.75" hidden="1" customHeight="1" x14ac:dyDescent="0.25">
      <c r="A1621" s="354">
        <v>1</v>
      </c>
      <c r="B1621" s="131" t="e">
        <f t="shared" si="43"/>
        <v>#REF!</v>
      </c>
      <c r="C1621" s="745" t="s">
        <v>197</v>
      </c>
      <c r="D1621" s="719"/>
      <c r="E1621" s="720">
        <f>SUM(E1519,E1455,E1390,E1318,E1202,E1156,E1133,E1077,E1023,E978,E962,E947,E925,E863,E802,E737,E677,E605,E524,E460,E394,E356,E317,E280,E222,E101,E1542)</f>
        <v>1065728.0851063831</v>
      </c>
      <c r="F1621" s="719"/>
      <c r="G1621" s="719"/>
      <c r="H1621" s="722"/>
    </row>
    <row r="1622" spans="1:8" ht="29.25" hidden="1" customHeight="1" x14ac:dyDescent="0.25">
      <c r="A1622" s="354">
        <v>1</v>
      </c>
      <c r="B1622" s="131" t="e">
        <f t="shared" si="43"/>
        <v>#REF!</v>
      </c>
      <c r="C1622" s="745" t="s">
        <v>198</v>
      </c>
      <c r="D1622" s="719"/>
      <c r="E1622" s="720">
        <f>SUM(E1520,E1456,E1391,E1319,E1203,E1134,E1078,E1024,E926,E864,E803,E738,E678,E606,E525,E461,E395,E357,E318,E281,E223,E102,E19)</f>
        <v>279673</v>
      </c>
      <c r="F1622" s="719"/>
      <c r="G1622" s="719"/>
      <c r="H1622" s="722"/>
    </row>
    <row r="1623" spans="1:8" ht="15.75" hidden="1" customHeight="1" x14ac:dyDescent="0.25">
      <c r="A1623" s="354">
        <v>1</v>
      </c>
      <c r="B1623" s="131" t="e">
        <f t="shared" si="43"/>
        <v>#REF!</v>
      </c>
      <c r="C1623" s="749" t="s">
        <v>112</v>
      </c>
      <c r="D1623" s="719"/>
      <c r="E1623" s="728">
        <f>SUM(E1543,E1521,E1457,E1392,E1320,E1204,E1157,E1135,E1079,E1025,E979,E963,E948,E927,E865,E804,E739,E679,E607,E526,E462,E396,E358,E319,E282,E224,E158,E103,E20)</f>
        <v>4529416.1928571425</v>
      </c>
      <c r="F1623" s="719"/>
      <c r="G1623" s="720"/>
      <c r="H1623" s="722"/>
    </row>
    <row r="1624" spans="1:8" ht="15.75" hidden="1" customHeight="1" x14ac:dyDescent="0.25">
      <c r="A1624" s="354">
        <v>1</v>
      </c>
      <c r="B1624" s="131" t="e">
        <f t="shared" si="43"/>
        <v>#REF!</v>
      </c>
      <c r="C1624" s="750" t="s">
        <v>160</v>
      </c>
      <c r="D1624" s="719"/>
      <c r="E1624" s="751">
        <f>E1618*2.6+E1619+E1620+E1622+E1562*2.6+E1595*2.6+E1597/4.2+E1598/4.2+E1599*10</f>
        <v>4529416.1928571425</v>
      </c>
      <c r="F1624" s="720"/>
      <c r="G1624" s="719"/>
      <c r="H1624" s="722"/>
    </row>
    <row r="1625" spans="1:8" ht="15.75" hidden="1" customHeight="1" x14ac:dyDescent="0.25">
      <c r="A1625" s="354">
        <v>1</v>
      </c>
      <c r="B1625" s="131" t="e">
        <f t="shared" si="43"/>
        <v>#REF!</v>
      </c>
      <c r="C1625" s="750" t="s">
        <v>7</v>
      </c>
      <c r="D1625" s="719"/>
      <c r="E1625" s="720"/>
      <c r="F1625" s="719"/>
      <c r="G1625" s="719"/>
      <c r="H1625" s="722"/>
    </row>
    <row r="1626" spans="1:8" ht="15.75" hidden="1" customHeight="1" x14ac:dyDescent="0.25">
      <c r="A1626" s="354">
        <v>1</v>
      </c>
      <c r="B1626" s="131" t="e">
        <f t="shared" si="43"/>
        <v>#REF!</v>
      </c>
      <c r="C1626" s="752" t="s">
        <v>161</v>
      </c>
      <c r="D1626" s="719"/>
      <c r="E1626" s="720">
        <f>E1546+E1462+E1327+E228+E162+E115+E25</f>
        <v>2661</v>
      </c>
      <c r="F1626" s="721">
        <f>H1626/E1626</f>
        <v>8.7087561067267938</v>
      </c>
      <c r="G1626" s="720">
        <f>G1546+G1462+G1327+G228+G162+G115+G25</f>
        <v>78</v>
      </c>
      <c r="H1626" s="722">
        <f>H1546+H1462+H1327+H228+H162+H115+H25</f>
        <v>23174</v>
      </c>
    </row>
    <row r="1627" spans="1:8" ht="15.75" hidden="1" customHeight="1" x14ac:dyDescent="0.25">
      <c r="A1627" s="354">
        <v>1</v>
      </c>
      <c r="B1627" s="131" t="e">
        <f t="shared" si="43"/>
        <v>#REF!</v>
      </c>
      <c r="C1627" s="752" t="s">
        <v>209</v>
      </c>
      <c r="D1627" s="719"/>
      <c r="E1627" s="720">
        <f>SUM(E1525,E1397,E1333,E1212,E1141,E1083,E1031,E932,E869,E811,E744,E685,E622,E530,E469,E401,E363,E324,E287,E231,E119)</f>
        <v>35808</v>
      </c>
      <c r="F1627" s="721">
        <f>H1627/E1627</f>
        <v>6.4774352100089363</v>
      </c>
      <c r="G1627" s="720">
        <f>SUM(G1525,G1397,G1333,G1212,G1141,G1083,G1031,G932,G869,G811,G744,G685,G622,G530,G469,G401,G363,G324,G287,G231,G119)</f>
        <v>968.33333333333337</v>
      </c>
      <c r="H1627" s="722">
        <f>SUM(H1525,H1397,H1333,H1212,H1141,H1083,H1031,H932,H869,H811,H744,H685,H622,H530,H469,H401,H363,H324,H287,H231,H119)</f>
        <v>231944</v>
      </c>
    </row>
    <row r="1628" spans="1:8" ht="15.75" hidden="1" customHeight="1" x14ac:dyDescent="0.25">
      <c r="A1628" s="354">
        <v>1</v>
      </c>
      <c r="B1628" s="131" t="e">
        <f t="shared" si="43"/>
        <v>#REF!</v>
      </c>
      <c r="C1628" s="752" t="s">
        <v>88</v>
      </c>
      <c r="D1628" s="719"/>
      <c r="E1628" s="720">
        <f>SUM(E1547,E1526,E1463,E1398,E1334,E1213,E1142,E1084,E1032,E933,E870,E812,E686,E745,E623,E531,E470,E402,E364,E325,E288,E232,E163,E120,E26)</f>
        <v>38469</v>
      </c>
      <c r="F1628" s="721">
        <f>H1628/E1628</f>
        <v>6.6317814344017263</v>
      </c>
      <c r="G1628" s="720">
        <f t="shared" ref="G1628:H1628" si="44">SUM(G1547,G1526,G1463,G1398,G1334,G1213,G1142,G1084,G1032,G933,G870,G812,G686,G745,G623,G531,G470,G402,G364,G325,G288,G232,G163,G120,G26)</f>
        <v>1046.3333333333335</v>
      </c>
      <c r="H1628" s="722">
        <f t="shared" si="44"/>
        <v>255118</v>
      </c>
    </row>
    <row r="1629" spans="1:8" ht="30" hidden="1" customHeight="1" x14ac:dyDescent="0.25">
      <c r="A1629" s="354">
        <v>1</v>
      </c>
      <c r="B1629" s="131" t="e">
        <f t="shared" si="43"/>
        <v>#REF!</v>
      </c>
      <c r="C1629" s="753" t="s">
        <v>162</v>
      </c>
      <c r="D1629" s="719"/>
      <c r="E1629" s="720"/>
      <c r="F1629" s="719"/>
      <c r="G1629" s="719"/>
      <c r="H1629" s="722"/>
    </row>
    <row r="1630" spans="1:8" ht="30" hidden="1" customHeight="1" x14ac:dyDescent="0.25">
      <c r="A1630" s="354">
        <v>1</v>
      </c>
      <c r="B1630" s="131" t="e">
        <f t="shared" si="43"/>
        <v>#REF!</v>
      </c>
      <c r="C1630" s="753" t="s">
        <v>163</v>
      </c>
      <c r="D1630" s="719"/>
      <c r="E1630" s="720">
        <f>E1545</f>
        <v>750</v>
      </c>
      <c r="F1630" s="719"/>
      <c r="G1630" s="719"/>
      <c r="H1630" s="754"/>
    </row>
    <row r="1631" spans="1:8" ht="29.25" hidden="1" customHeight="1" x14ac:dyDescent="0.25">
      <c r="A1631" s="354">
        <v>1</v>
      </c>
      <c r="B1631" s="131" t="e">
        <f t="shared" si="43"/>
        <v>#REF!</v>
      </c>
      <c r="C1631" s="755" t="s">
        <v>266</v>
      </c>
      <c r="D1631" s="719"/>
      <c r="E1631" s="720">
        <f>E1617+E916+E129</f>
        <v>0</v>
      </c>
      <c r="F1631" s="719"/>
      <c r="G1631" s="719"/>
      <c r="H1631" s="754"/>
    </row>
    <row r="1632" spans="1:8" ht="31.5" hidden="1" customHeight="1" x14ac:dyDescent="0.25">
      <c r="A1632" s="354">
        <v>1</v>
      </c>
      <c r="B1632" s="131" t="e">
        <f t="shared" si="43"/>
        <v>#REF!</v>
      </c>
      <c r="C1632" s="756" t="s">
        <v>104</v>
      </c>
      <c r="D1632" s="719"/>
      <c r="E1632" s="738">
        <f>SUM(E1335,E130)</f>
        <v>4470</v>
      </c>
      <c r="F1632" s="719"/>
      <c r="G1632" s="719"/>
      <c r="H1632" s="754"/>
    </row>
    <row r="1633" spans="1:8" ht="30" hidden="1" customHeight="1" x14ac:dyDescent="0.25">
      <c r="A1633" s="354">
        <v>1</v>
      </c>
      <c r="B1633" s="131" t="e">
        <f t="shared" si="43"/>
        <v>#REF!</v>
      </c>
      <c r="C1633" s="753" t="s">
        <v>103</v>
      </c>
      <c r="D1633" s="719"/>
      <c r="E1633" s="738">
        <f>E1336</f>
        <v>950</v>
      </c>
      <c r="F1633" s="719"/>
      <c r="G1633" s="719"/>
      <c r="H1633" s="754"/>
    </row>
    <row r="1634" spans="1:8" ht="15.75" hidden="1" customHeight="1" x14ac:dyDescent="0.25">
      <c r="A1634" s="354">
        <v>1</v>
      </c>
      <c r="B1634" s="131" t="e">
        <f t="shared" si="43"/>
        <v>#REF!</v>
      </c>
      <c r="C1634" s="753" t="s">
        <v>114</v>
      </c>
      <c r="D1634" s="719"/>
      <c r="E1634" s="738">
        <f>E1337</f>
        <v>20</v>
      </c>
      <c r="F1634" s="719"/>
      <c r="G1634" s="719"/>
      <c r="H1634" s="754"/>
    </row>
    <row r="1635" spans="1:8" ht="15.75" hidden="1" customHeight="1" x14ac:dyDescent="0.25">
      <c r="A1635" s="354">
        <v>1</v>
      </c>
      <c r="B1635" s="131" t="e">
        <f t="shared" si="43"/>
        <v>#REF!</v>
      </c>
      <c r="C1635" s="753" t="s">
        <v>187</v>
      </c>
      <c r="D1635" s="719"/>
      <c r="E1635" s="738">
        <f>E131</f>
        <v>40</v>
      </c>
      <c r="F1635" s="719"/>
      <c r="G1635" s="719"/>
      <c r="H1635" s="754"/>
    </row>
    <row r="1636" spans="1:8" ht="15.75" hidden="1" customHeight="1" x14ac:dyDescent="0.25">
      <c r="A1636" s="354">
        <v>1</v>
      </c>
      <c r="B1636" s="131" t="e">
        <f t="shared" si="43"/>
        <v>#REF!</v>
      </c>
      <c r="C1636" s="749" t="s">
        <v>164</v>
      </c>
      <c r="D1636" s="719"/>
      <c r="E1636" s="738">
        <f>E1338+E132</f>
        <v>5480</v>
      </c>
      <c r="F1636" s="719"/>
      <c r="G1636" s="719"/>
      <c r="H1636" s="754"/>
    </row>
    <row r="1637" spans="1:8" ht="15.75" hidden="1" customHeight="1" x14ac:dyDescent="0.25">
      <c r="A1637" s="354">
        <v>1</v>
      </c>
      <c r="B1637" s="131" t="e">
        <f t="shared" si="43"/>
        <v>#REF!</v>
      </c>
      <c r="C1637" s="757" t="s">
        <v>105</v>
      </c>
      <c r="D1637" s="719"/>
      <c r="E1637" s="738">
        <f>E1466</f>
        <v>197428</v>
      </c>
      <c r="F1637" s="719"/>
      <c r="G1637" s="719"/>
      <c r="H1637" s="754"/>
    </row>
    <row r="1638" spans="1:8" ht="15.75" hidden="1" customHeight="1" x14ac:dyDescent="0.25">
      <c r="A1638" s="354">
        <v>1</v>
      </c>
      <c r="B1638" s="131" t="e">
        <f t="shared" si="43"/>
        <v>#REF!</v>
      </c>
      <c r="C1638" s="758" t="s">
        <v>106</v>
      </c>
      <c r="D1638" s="719"/>
      <c r="E1638" s="738">
        <f>E1467</f>
        <v>197358</v>
      </c>
      <c r="F1638" s="719"/>
      <c r="G1638" s="719"/>
      <c r="H1638" s="754"/>
    </row>
    <row r="1639" spans="1:8" ht="30" hidden="1" customHeight="1" x14ac:dyDescent="0.25">
      <c r="A1639" s="354">
        <v>1</v>
      </c>
      <c r="B1639" s="131" t="e">
        <f t="shared" si="43"/>
        <v>#REF!</v>
      </c>
      <c r="C1639" s="758" t="s">
        <v>107</v>
      </c>
      <c r="D1639" s="719"/>
      <c r="E1639" s="738">
        <f>E1468</f>
        <v>70</v>
      </c>
      <c r="F1639" s="719"/>
      <c r="G1639" s="719"/>
      <c r="H1639" s="754"/>
    </row>
    <row r="1640" spans="1:8" ht="16.5" hidden="1" customHeight="1" thickBot="1" x14ac:dyDescent="0.3">
      <c r="A1640" s="354">
        <v>1</v>
      </c>
      <c r="B1640" s="131" t="e">
        <f t="shared" si="43"/>
        <v>#REF!</v>
      </c>
      <c r="C1640" s="759" t="s">
        <v>108</v>
      </c>
      <c r="D1640" s="760"/>
      <c r="E1640" s="761">
        <f>E1637</f>
        <v>197428</v>
      </c>
      <c r="F1640" s="760"/>
      <c r="G1640" s="760"/>
      <c r="H1640" s="762"/>
    </row>
    <row r="1641" spans="1:8" ht="15.75" customHeight="1" x14ac:dyDescent="0.25">
      <c r="A1641" s="354">
        <v>1</v>
      </c>
      <c r="C1641" s="792"/>
      <c r="D1641" s="793"/>
      <c r="E1641" s="793"/>
      <c r="F1641" s="793"/>
      <c r="G1641" s="793"/>
      <c r="H1641" s="793"/>
    </row>
    <row r="1642" spans="1:8" ht="15.75" customHeight="1" x14ac:dyDescent="0.25">
      <c r="A1642" s="354">
        <v>1</v>
      </c>
    </row>
    <row r="1643" spans="1:8" ht="15.75" customHeight="1" x14ac:dyDescent="0.25">
      <c r="A1643" s="354">
        <v>1</v>
      </c>
    </row>
    <row r="1644" spans="1:8" ht="15.75" customHeight="1" x14ac:dyDescent="0.25">
      <c r="A1644" s="354">
        <v>1</v>
      </c>
    </row>
  </sheetData>
  <autoFilter ref="A8:I1644"/>
  <sortState ref="C785:H788">
    <sortCondition ref="C785:C788"/>
  </sortState>
  <mergeCells count="11">
    <mergeCell ref="G1:H1"/>
    <mergeCell ref="F2:H2"/>
    <mergeCell ref="C1641:H1641"/>
    <mergeCell ref="C3:H4"/>
    <mergeCell ref="D5:D7"/>
    <mergeCell ref="F5:F7"/>
    <mergeCell ref="G5:G7"/>
    <mergeCell ref="E5:E7"/>
    <mergeCell ref="H5:H7"/>
    <mergeCell ref="C1215:C1216"/>
    <mergeCell ref="C1465:C1466"/>
  </mergeCells>
  <pageMargins left="0.6692913385826772" right="0" top="0" bottom="0" header="0" footer="0"/>
  <pageSetup paperSize="9" scale="7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I1306"/>
  <sheetViews>
    <sheetView tabSelected="1" topLeftCell="B1" zoomScale="90" zoomScaleNormal="90" zoomScaleSheetLayoutView="100" workbookViewId="0">
      <pane xSplit="3" ySplit="9" topLeftCell="E430" activePane="bottomRight" state="frozen"/>
      <selection activeCell="J20" sqref="J20"/>
      <selection pane="topRight" activeCell="J20" sqref="J20"/>
      <selection pane="bottomLeft" activeCell="J20" sqref="J20"/>
      <selection pane="bottomRight" activeCell="G412" sqref="G412"/>
    </sheetView>
  </sheetViews>
  <sheetFormatPr defaultColWidth="15.7109375" defaultRowHeight="15" x14ac:dyDescent="0.25"/>
  <cols>
    <col min="1" max="1" width="3.85546875" style="131" hidden="1" customWidth="1"/>
    <col min="2" max="3" width="8.42578125" style="131" hidden="1" customWidth="1"/>
    <col min="4" max="4" width="47.85546875" style="131" customWidth="1"/>
    <col min="5" max="5" width="10.7109375" style="131" customWidth="1"/>
    <col min="6" max="6" width="14.28515625" style="131" customWidth="1"/>
    <col min="7" max="7" width="12.140625" style="131" customWidth="1"/>
    <col min="8" max="8" width="11" style="131" customWidth="1"/>
    <col min="9" max="9" width="13.7109375" style="131" customWidth="1"/>
    <col min="10" max="16384" width="15.7109375" style="131"/>
  </cols>
  <sheetData>
    <row r="1" spans="1:9" ht="15.75" customHeight="1" x14ac:dyDescent="0.25">
      <c r="E1" s="132"/>
      <c r="F1" s="132"/>
      <c r="G1" s="776" t="s">
        <v>435</v>
      </c>
      <c r="H1" s="776"/>
    </row>
    <row r="2" spans="1:9" ht="30.75" customHeight="1" x14ac:dyDescent="0.25">
      <c r="E2" s="132"/>
      <c r="F2" s="777" t="s">
        <v>438</v>
      </c>
      <c r="G2" s="777"/>
      <c r="H2" s="777"/>
    </row>
    <row r="3" spans="1:9" ht="19.5" hidden="1" customHeight="1" x14ac:dyDescent="0.25">
      <c r="H3" s="389"/>
    </row>
    <row r="4" spans="1:9" s="3" customFormat="1" ht="15" customHeight="1" x14ac:dyDescent="0.25">
      <c r="D4" s="778" t="s">
        <v>337</v>
      </c>
      <c r="E4" s="778"/>
      <c r="F4" s="778"/>
      <c r="G4" s="778"/>
      <c r="H4" s="778"/>
      <c r="I4" s="778"/>
    </row>
    <row r="5" spans="1:9" ht="42.75" customHeight="1" thickBot="1" x14ac:dyDescent="0.3">
      <c r="D5" s="799"/>
      <c r="E5" s="799"/>
      <c r="F5" s="799"/>
      <c r="G5" s="799"/>
      <c r="H5" s="799"/>
      <c r="I5" s="799"/>
    </row>
    <row r="6" spans="1:9" ht="33.75" customHeight="1" x14ac:dyDescent="0.3">
      <c r="D6" s="4" t="s">
        <v>109</v>
      </c>
      <c r="E6" s="783" t="s">
        <v>1</v>
      </c>
      <c r="F6" s="802" t="s">
        <v>144</v>
      </c>
      <c r="G6" s="789" t="s">
        <v>0</v>
      </c>
      <c r="H6" s="783" t="s">
        <v>2</v>
      </c>
      <c r="I6" s="786" t="s">
        <v>115</v>
      </c>
    </row>
    <row r="7" spans="1:9" ht="19.5" customHeight="1" x14ac:dyDescent="0.3">
      <c r="D7" s="5"/>
      <c r="E7" s="784"/>
      <c r="F7" s="803"/>
      <c r="G7" s="790"/>
      <c r="H7" s="784"/>
      <c r="I7" s="787"/>
    </row>
    <row r="8" spans="1:9" ht="44.25" customHeight="1" thickBot="1" x14ac:dyDescent="0.3">
      <c r="D8" s="6" t="s">
        <v>3</v>
      </c>
      <c r="E8" s="785"/>
      <c r="F8" s="804"/>
      <c r="G8" s="791"/>
      <c r="H8" s="785"/>
      <c r="I8" s="788"/>
    </row>
    <row r="9" spans="1:9" ht="15.75" thickBot="1" x14ac:dyDescent="0.3">
      <c r="D9" s="7">
        <v>1</v>
      </c>
      <c r="E9" s="8">
        <v>2</v>
      </c>
      <c r="F9" s="8">
        <v>3</v>
      </c>
      <c r="G9" s="135">
        <v>4</v>
      </c>
      <c r="H9" s="135">
        <v>5</v>
      </c>
      <c r="I9" s="135">
        <v>6</v>
      </c>
    </row>
    <row r="10" spans="1:9" ht="32.25" customHeight="1" x14ac:dyDescent="0.25">
      <c r="A10" s="136" t="s">
        <v>231</v>
      </c>
      <c r="B10" s="136" t="s">
        <v>231</v>
      </c>
      <c r="C10" s="376" t="s">
        <v>299</v>
      </c>
      <c r="D10" s="763" t="s">
        <v>313</v>
      </c>
      <c r="E10" s="226"/>
      <c r="F10" s="226"/>
      <c r="G10" s="361"/>
      <c r="H10" s="361"/>
      <c r="I10" s="361"/>
    </row>
    <row r="11" spans="1:9" x14ac:dyDescent="0.25">
      <c r="A11" s="136" t="s">
        <v>231</v>
      </c>
      <c r="B11" s="136" t="s">
        <v>231</v>
      </c>
      <c r="C11" s="376" t="s">
        <v>299</v>
      </c>
      <c r="D11" s="137" t="s">
        <v>4</v>
      </c>
      <c r="E11" s="138"/>
      <c r="F11" s="226"/>
      <c r="G11" s="2"/>
      <c r="H11" s="2"/>
      <c r="I11" s="2"/>
    </row>
    <row r="12" spans="1:9" x14ac:dyDescent="0.25">
      <c r="A12" s="136" t="s">
        <v>231</v>
      </c>
      <c r="B12" s="136" t="s">
        <v>231</v>
      </c>
      <c r="C12" s="376" t="s">
        <v>299</v>
      </c>
      <c r="D12" s="141" t="s">
        <v>32</v>
      </c>
      <c r="E12" s="336">
        <v>340</v>
      </c>
      <c r="F12" s="2">
        <v>312</v>
      </c>
      <c r="G12" s="337">
        <v>10</v>
      </c>
      <c r="H12" s="2">
        <f>ROUND(I12/E12,0)</f>
        <v>9</v>
      </c>
      <c r="I12" s="2">
        <f t="shared" ref="I12:I23" si="0">ROUND(F12*G12,0)</f>
        <v>3120</v>
      </c>
    </row>
    <row r="13" spans="1:9" x14ac:dyDescent="0.25">
      <c r="A13" s="136" t="s">
        <v>231</v>
      </c>
      <c r="B13" s="136" t="s">
        <v>231</v>
      </c>
      <c r="C13" s="376" t="s">
        <v>299</v>
      </c>
      <c r="D13" s="141" t="s">
        <v>25</v>
      </c>
      <c r="E13" s="336">
        <v>310</v>
      </c>
      <c r="F13" s="2">
        <v>3815</v>
      </c>
      <c r="G13" s="337">
        <v>6.5</v>
      </c>
      <c r="H13" s="2">
        <f>ROUND(I13/E13,0)</f>
        <v>80</v>
      </c>
      <c r="I13" s="2">
        <f t="shared" si="0"/>
        <v>24798</v>
      </c>
    </row>
    <row r="14" spans="1:9" x14ac:dyDescent="0.25">
      <c r="A14" s="136" t="s">
        <v>231</v>
      </c>
      <c r="B14" s="136" t="s">
        <v>231</v>
      </c>
      <c r="C14" s="376" t="s">
        <v>299</v>
      </c>
      <c r="D14" s="141" t="s">
        <v>34</v>
      </c>
      <c r="E14" s="336">
        <v>340</v>
      </c>
      <c r="F14" s="2">
        <v>1360</v>
      </c>
      <c r="G14" s="337">
        <v>10</v>
      </c>
      <c r="H14" s="2">
        <f t="shared" ref="H14:H23" si="1">ROUND(I14/E14,0)</f>
        <v>40</v>
      </c>
      <c r="I14" s="2">
        <f t="shared" si="0"/>
        <v>13600</v>
      </c>
    </row>
    <row r="15" spans="1:9" x14ac:dyDescent="0.25">
      <c r="A15" s="136" t="s">
        <v>231</v>
      </c>
      <c r="B15" s="136" t="s">
        <v>231</v>
      </c>
      <c r="C15" s="376" t="s">
        <v>299</v>
      </c>
      <c r="D15" s="141" t="s">
        <v>37</v>
      </c>
      <c r="E15" s="336">
        <v>340</v>
      </c>
      <c r="F15" s="2">
        <v>1530</v>
      </c>
      <c r="G15" s="337">
        <v>10</v>
      </c>
      <c r="H15" s="2">
        <f t="shared" si="1"/>
        <v>45</v>
      </c>
      <c r="I15" s="2">
        <f t="shared" si="0"/>
        <v>15300</v>
      </c>
    </row>
    <row r="16" spans="1:9" x14ac:dyDescent="0.25">
      <c r="A16" s="136" t="s">
        <v>231</v>
      </c>
      <c r="B16" s="136" t="s">
        <v>231</v>
      </c>
      <c r="C16" s="376" t="s">
        <v>299</v>
      </c>
      <c r="D16" s="141" t="s">
        <v>64</v>
      </c>
      <c r="E16" s="336">
        <v>340</v>
      </c>
      <c r="F16" s="2">
        <v>118</v>
      </c>
      <c r="G16" s="337">
        <v>20.100000000000001</v>
      </c>
      <c r="H16" s="2">
        <f t="shared" si="1"/>
        <v>7</v>
      </c>
      <c r="I16" s="2">
        <f t="shared" si="0"/>
        <v>2372</v>
      </c>
    </row>
    <row r="17" spans="1:9" x14ac:dyDescent="0.25">
      <c r="A17" s="136" t="s">
        <v>231</v>
      </c>
      <c r="B17" s="136" t="s">
        <v>231</v>
      </c>
      <c r="C17" s="376" t="s">
        <v>299</v>
      </c>
      <c r="D17" s="141" t="s">
        <v>38</v>
      </c>
      <c r="E17" s="336">
        <v>340</v>
      </c>
      <c r="F17" s="2">
        <v>84</v>
      </c>
      <c r="G17" s="337">
        <v>12.1</v>
      </c>
      <c r="H17" s="2">
        <f t="shared" si="1"/>
        <v>3</v>
      </c>
      <c r="I17" s="2">
        <f t="shared" si="0"/>
        <v>1016</v>
      </c>
    </row>
    <row r="18" spans="1:9" x14ac:dyDescent="0.25">
      <c r="A18" s="136" t="s">
        <v>231</v>
      </c>
      <c r="B18" s="136" t="s">
        <v>231</v>
      </c>
      <c r="C18" s="376" t="s">
        <v>299</v>
      </c>
      <c r="D18" s="141" t="s">
        <v>40</v>
      </c>
      <c r="E18" s="336">
        <v>320</v>
      </c>
      <c r="F18" s="2">
        <v>320</v>
      </c>
      <c r="G18" s="337">
        <v>10</v>
      </c>
      <c r="H18" s="2">
        <f t="shared" si="1"/>
        <v>10</v>
      </c>
      <c r="I18" s="2">
        <f t="shared" si="0"/>
        <v>3200</v>
      </c>
    </row>
    <row r="19" spans="1:9" x14ac:dyDescent="0.25">
      <c r="A19" s="136" t="s">
        <v>231</v>
      </c>
      <c r="B19" s="136" t="s">
        <v>231</v>
      </c>
      <c r="C19" s="376" t="s">
        <v>299</v>
      </c>
      <c r="D19" s="141" t="s">
        <v>36</v>
      </c>
      <c r="E19" s="336">
        <v>340</v>
      </c>
      <c r="F19" s="2">
        <v>517</v>
      </c>
      <c r="G19" s="337">
        <v>11</v>
      </c>
      <c r="H19" s="2">
        <f t="shared" si="1"/>
        <v>17</v>
      </c>
      <c r="I19" s="2">
        <f t="shared" si="0"/>
        <v>5687</v>
      </c>
    </row>
    <row r="20" spans="1:9" x14ac:dyDescent="0.25">
      <c r="A20" s="136" t="s">
        <v>231</v>
      </c>
      <c r="B20" s="136" t="s">
        <v>231</v>
      </c>
      <c r="C20" s="376" t="s">
        <v>299</v>
      </c>
      <c r="D20" s="141" t="s">
        <v>35</v>
      </c>
      <c r="E20" s="336">
        <v>340</v>
      </c>
      <c r="F20" s="2">
        <v>587</v>
      </c>
      <c r="G20" s="337">
        <v>10</v>
      </c>
      <c r="H20" s="2">
        <f t="shared" si="1"/>
        <v>17</v>
      </c>
      <c r="I20" s="2">
        <f t="shared" si="0"/>
        <v>5870</v>
      </c>
    </row>
    <row r="21" spans="1:9" x14ac:dyDescent="0.25">
      <c r="A21" s="136" t="s">
        <v>231</v>
      </c>
      <c r="B21" s="136" t="s">
        <v>231</v>
      </c>
      <c r="C21" s="376" t="s">
        <v>299</v>
      </c>
      <c r="D21" s="141" t="s">
        <v>56</v>
      </c>
      <c r="E21" s="336">
        <v>340</v>
      </c>
      <c r="F21" s="2">
        <v>411</v>
      </c>
      <c r="G21" s="337">
        <v>12</v>
      </c>
      <c r="H21" s="2">
        <f t="shared" si="1"/>
        <v>15</v>
      </c>
      <c r="I21" s="2">
        <f t="shared" si="0"/>
        <v>4932</v>
      </c>
    </row>
    <row r="22" spans="1:9" x14ac:dyDescent="0.25">
      <c r="A22" s="136" t="s">
        <v>231</v>
      </c>
      <c r="B22" s="136" t="s">
        <v>231</v>
      </c>
      <c r="C22" s="376" t="s">
        <v>299</v>
      </c>
      <c r="D22" s="141" t="s">
        <v>39</v>
      </c>
      <c r="E22" s="336">
        <v>340</v>
      </c>
      <c r="F22" s="2">
        <v>1388</v>
      </c>
      <c r="G22" s="337">
        <v>9.5</v>
      </c>
      <c r="H22" s="2">
        <f t="shared" si="1"/>
        <v>39</v>
      </c>
      <c r="I22" s="2">
        <f t="shared" si="0"/>
        <v>13186</v>
      </c>
    </row>
    <row r="23" spans="1:9" x14ac:dyDescent="0.25">
      <c r="A23" s="136" t="s">
        <v>231</v>
      </c>
      <c r="B23" s="136" t="s">
        <v>231</v>
      </c>
      <c r="C23" s="376" t="s">
        <v>299</v>
      </c>
      <c r="D23" s="141" t="s">
        <v>69</v>
      </c>
      <c r="E23" s="336">
        <v>340</v>
      </c>
      <c r="F23" s="2">
        <f>1133+250</f>
        <v>1383</v>
      </c>
      <c r="G23" s="624">
        <v>8</v>
      </c>
      <c r="H23" s="2">
        <f t="shared" si="1"/>
        <v>33</v>
      </c>
      <c r="I23" s="2">
        <f t="shared" si="0"/>
        <v>11064</v>
      </c>
    </row>
    <row r="24" spans="1:9" s="145" customFormat="1" x14ac:dyDescent="0.25">
      <c r="A24" s="136" t="s">
        <v>231</v>
      </c>
      <c r="B24" s="136" t="s">
        <v>231</v>
      </c>
      <c r="C24" s="376" t="s">
        <v>299</v>
      </c>
      <c r="D24" s="390" t="s">
        <v>5</v>
      </c>
      <c r="E24" s="199"/>
      <c r="F24" s="29">
        <f>SUM(F12:F23)</f>
        <v>11825</v>
      </c>
      <c r="G24" s="158">
        <f>I24/F24</f>
        <v>8.8071881606765334</v>
      </c>
      <c r="H24" s="29">
        <f>SUM(H12:H23)</f>
        <v>315</v>
      </c>
      <c r="I24" s="29">
        <f>SUM(I12:I23)</f>
        <v>104145</v>
      </c>
    </row>
    <row r="25" spans="1:9" s="145" customFormat="1" x14ac:dyDescent="0.25">
      <c r="A25" s="136" t="s">
        <v>231</v>
      </c>
      <c r="B25" s="136" t="s">
        <v>231</v>
      </c>
      <c r="C25" s="376" t="s">
        <v>299</v>
      </c>
      <c r="D25" s="143" t="s">
        <v>207</v>
      </c>
      <c r="E25" s="139"/>
      <c r="F25" s="11">
        <v>250</v>
      </c>
      <c r="G25" s="140"/>
      <c r="H25" s="2"/>
      <c r="I25" s="2"/>
    </row>
    <row r="26" spans="1:9" s="55" customFormat="1" ht="51.75" customHeight="1" x14ac:dyDescent="0.25">
      <c r="A26" s="136" t="s">
        <v>231</v>
      </c>
      <c r="B26" s="136" t="s">
        <v>231</v>
      </c>
      <c r="C26" s="376" t="s">
        <v>299</v>
      </c>
      <c r="D26" s="128" t="s">
        <v>250</v>
      </c>
      <c r="E26" s="12"/>
      <c r="F26" s="77"/>
      <c r="G26" s="54"/>
      <c r="H26" s="54"/>
      <c r="I26" s="54"/>
    </row>
    <row r="27" spans="1:9" s="55" customFormat="1" x14ac:dyDescent="0.25">
      <c r="A27" s="136" t="s">
        <v>231</v>
      </c>
      <c r="B27" s="136" t="s">
        <v>231</v>
      </c>
      <c r="C27" s="376" t="s">
        <v>299</v>
      </c>
      <c r="D27" s="14" t="s">
        <v>192</v>
      </c>
      <c r="E27" s="12"/>
      <c r="F27" s="77">
        <f>F28+F29+F30+F31+F32</f>
        <v>46700</v>
      </c>
      <c r="G27" s="54"/>
      <c r="H27" s="54"/>
      <c r="I27" s="54"/>
    </row>
    <row r="28" spans="1:9" s="55" customFormat="1" x14ac:dyDescent="0.25">
      <c r="A28" s="136" t="s">
        <v>231</v>
      </c>
      <c r="B28" s="136" t="s">
        <v>231</v>
      </c>
      <c r="C28" s="376" t="s">
        <v>299</v>
      </c>
      <c r="D28" s="18" t="s">
        <v>116</v>
      </c>
      <c r="E28" s="12"/>
      <c r="F28" s="62">
        <v>12500</v>
      </c>
      <c r="G28" s="54"/>
      <c r="H28" s="54"/>
      <c r="I28" s="54"/>
    </row>
    <row r="29" spans="1:9" s="55" customFormat="1" ht="30" x14ac:dyDescent="0.25">
      <c r="A29" s="136" t="s">
        <v>231</v>
      </c>
      <c r="B29" s="136" t="s">
        <v>231</v>
      </c>
      <c r="C29" s="376" t="s">
        <v>299</v>
      </c>
      <c r="D29" s="18" t="s">
        <v>397</v>
      </c>
      <c r="E29" s="12"/>
      <c r="F29" s="62">
        <v>9000</v>
      </c>
      <c r="G29" s="54"/>
      <c r="H29" s="54"/>
      <c r="I29" s="54"/>
    </row>
    <row r="30" spans="1:9" s="55" customFormat="1" ht="49.5" customHeight="1" x14ac:dyDescent="0.25">
      <c r="A30" s="136" t="s">
        <v>231</v>
      </c>
      <c r="B30" s="136" t="s">
        <v>231</v>
      </c>
      <c r="C30" s="376" t="s">
        <v>299</v>
      </c>
      <c r="D30" s="15" t="s">
        <v>398</v>
      </c>
      <c r="E30" s="12"/>
      <c r="F30" s="62">
        <v>7500</v>
      </c>
      <c r="G30" s="54"/>
      <c r="H30" s="54"/>
      <c r="I30" s="54"/>
    </row>
    <row r="31" spans="1:9" s="55" customFormat="1" ht="45" x14ac:dyDescent="0.25">
      <c r="A31" s="136" t="s">
        <v>231</v>
      </c>
      <c r="B31" s="136" t="s">
        <v>231</v>
      </c>
      <c r="C31" s="376" t="s">
        <v>299</v>
      </c>
      <c r="D31" s="15" t="s">
        <v>399</v>
      </c>
      <c r="E31" s="12"/>
      <c r="F31" s="62">
        <v>12700</v>
      </c>
      <c r="G31" s="54"/>
      <c r="H31" s="54"/>
      <c r="I31" s="54"/>
    </row>
    <row r="32" spans="1:9" s="55" customFormat="1" ht="75" x14ac:dyDescent="0.25">
      <c r="A32" s="136"/>
      <c r="B32" s="136"/>
      <c r="C32" s="376" t="s">
        <v>299</v>
      </c>
      <c r="D32" s="15" t="s">
        <v>400</v>
      </c>
      <c r="E32" s="12"/>
      <c r="F32" s="62">
        <v>5000</v>
      </c>
      <c r="G32" s="54"/>
      <c r="H32" s="54"/>
      <c r="I32" s="54"/>
    </row>
    <row r="33" spans="1:9" s="55" customFormat="1" x14ac:dyDescent="0.25">
      <c r="A33" s="136" t="s">
        <v>231</v>
      </c>
      <c r="B33" s="136" t="s">
        <v>231</v>
      </c>
      <c r="C33" s="376" t="s">
        <v>299</v>
      </c>
      <c r="D33" s="57" t="s">
        <v>90</v>
      </c>
      <c r="E33" s="12"/>
      <c r="F33" s="77">
        <f>F34+F35+F36</f>
        <v>41356</v>
      </c>
      <c r="G33" s="54"/>
      <c r="H33" s="54"/>
      <c r="I33" s="54"/>
    </row>
    <row r="34" spans="1:9" s="55" customFormat="1" x14ac:dyDescent="0.25">
      <c r="A34" s="136" t="s">
        <v>231</v>
      </c>
      <c r="B34" s="136" t="s">
        <v>231</v>
      </c>
      <c r="C34" s="376" t="s">
        <v>299</v>
      </c>
      <c r="D34" s="15" t="s">
        <v>145</v>
      </c>
      <c r="E34" s="12"/>
      <c r="F34" s="62">
        <v>35187</v>
      </c>
      <c r="G34" s="54"/>
      <c r="H34" s="54"/>
      <c r="I34" s="54"/>
    </row>
    <row r="35" spans="1:9" s="55" customFormat="1" ht="45" x14ac:dyDescent="0.25">
      <c r="A35" s="136"/>
      <c r="B35" s="136"/>
      <c r="C35" s="376"/>
      <c r="D35" s="15" t="s">
        <v>414</v>
      </c>
      <c r="E35" s="12"/>
      <c r="F35" s="62">
        <v>4018</v>
      </c>
      <c r="G35" s="54"/>
      <c r="H35" s="54"/>
      <c r="I35" s="54"/>
    </row>
    <row r="36" spans="1:9" s="55" customFormat="1" ht="60" x14ac:dyDescent="0.25">
      <c r="A36" s="136"/>
      <c r="B36" s="136"/>
      <c r="C36" s="376"/>
      <c r="D36" s="15" t="s">
        <v>421</v>
      </c>
      <c r="E36" s="12"/>
      <c r="F36" s="62">
        <v>2151</v>
      </c>
      <c r="G36" s="54"/>
      <c r="H36" s="54"/>
      <c r="I36" s="54"/>
    </row>
    <row r="37" spans="1:9" s="55" customFormat="1" x14ac:dyDescent="0.25">
      <c r="A37" s="136"/>
      <c r="B37" s="136"/>
      <c r="C37" s="376"/>
      <c r="D37" s="33" t="s">
        <v>98</v>
      </c>
      <c r="E37" s="12"/>
      <c r="F37" s="62"/>
      <c r="G37" s="54"/>
      <c r="H37" s="54"/>
      <c r="I37" s="54"/>
    </row>
    <row r="38" spans="1:9" s="55" customFormat="1" ht="75" x14ac:dyDescent="0.25">
      <c r="A38" s="136"/>
      <c r="B38" s="136"/>
      <c r="C38" s="376"/>
      <c r="D38" s="15" t="s">
        <v>420</v>
      </c>
      <c r="E38" s="12"/>
      <c r="F38" s="62">
        <v>10753</v>
      </c>
      <c r="G38" s="54"/>
      <c r="H38" s="54"/>
      <c r="I38" s="54"/>
    </row>
    <row r="39" spans="1:9" s="55" customFormat="1" ht="48" customHeight="1" x14ac:dyDescent="0.25">
      <c r="A39" s="136" t="s">
        <v>231</v>
      </c>
      <c r="B39" s="136" t="s">
        <v>231</v>
      </c>
      <c r="C39" s="376" t="s">
        <v>299</v>
      </c>
      <c r="D39" s="58" t="s">
        <v>333</v>
      </c>
      <c r="E39" s="12"/>
      <c r="F39" s="77">
        <f>F40+F47</f>
        <v>36370</v>
      </c>
      <c r="G39" s="54"/>
      <c r="H39" s="54"/>
      <c r="I39" s="54"/>
    </row>
    <row r="40" spans="1:9" s="55" customFormat="1" ht="30" x14ac:dyDescent="0.25">
      <c r="A40" s="136" t="s">
        <v>231</v>
      </c>
      <c r="B40" s="136" t="s">
        <v>231</v>
      </c>
      <c r="C40" s="376" t="s">
        <v>299</v>
      </c>
      <c r="D40" s="16" t="s">
        <v>193</v>
      </c>
      <c r="E40" s="12"/>
      <c r="F40" s="77">
        <f>SUM(F41:F46)-F44</f>
        <v>16152</v>
      </c>
      <c r="G40" s="54"/>
      <c r="H40" s="54"/>
      <c r="I40" s="54"/>
    </row>
    <row r="41" spans="1:9" s="55" customFormat="1" ht="30" x14ac:dyDescent="0.25">
      <c r="A41" s="136" t="s">
        <v>231</v>
      </c>
      <c r="B41" s="136" t="s">
        <v>231</v>
      </c>
      <c r="C41" s="376" t="s">
        <v>299</v>
      </c>
      <c r="D41" s="15" t="s">
        <v>334</v>
      </c>
      <c r="E41" s="12"/>
      <c r="F41" s="62">
        <v>14229</v>
      </c>
      <c r="G41" s="54"/>
      <c r="H41" s="54"/>
      <c r="I41" s="54"/>
    </row>
    <row r="42" spans="1:9" s="55" customFormat="1" ht="45" x14ac:dyDescent="0.25">
      <c r="A42" s="136" t="s">
        <v>231</v>
      </c>
      <c r="B42" s="136" t="s">
        <v>231</v>
      </c>
      <c r="C42" s="376" t="s">
        <v>299</v>
      </c>
      <c r="D42" s="15" t="s">
        <v>402</v>
      </c>
      <c r="E42" s="59"/>
      <c r="F42" s="54"/>
      <c r="G42" s="54"/>
      <c r="H42" s="54"/>
      <c r="I42" s="54"/>
    </row>
    <row r="43" spans="1:9" s="55" customFormat="1" ht="30" x14ac:dyDescent="0.25">
      <c r="A43" s="136"/>
      <c r="B43" s="136"/>
      <c r="C43" s="376"/>
      <c r="D43" s="15" t="s">
        <v>380</v>
      </c>
      <c r="E43" s="59"/>
      <c r="F43" s="71">
        <v>1646</v>
      </c>
      <c r="G43" s="54"/>
      <c r="H43" s="54"/>
      <c r="I43" s="54"/>
    </row>
    <row r="44" spans="1:9" s="55" customFormat="1" ht="30" x14ac:dyDescent="0.25">
      <c r="A44" s="136"/>
      <c r="B44" s="136"/>
      <c r="C44" s="376"/>
      <c r="D44" s="15" t="s">
        <v>381</v>
      </c>
      <c r="E44" s="59"/>
      <c r="F44" s="71"/>
      <c r="G44" s="54"/>
      <c r="H44" s="54"/>
      <c r="I44" s="54"/>
    </row>
    <row r="45" spans="1:9" s="55" customFormat="1" ht="30" x14ac:dyDescent="0.25">
      <c r="A45" s="136" t="s">
        <v>231</v>
      </c>
      <c r="B45" s="136" t="s">
        <v>231</v>
      </c>
      <c r="C45" s="376" t="s">
        <v>299</v>
      </c>
      <c r="D45" s="15" t="s">
        <v>382</v>
      </c>
      <c r="E45" s="24"/>
      <c r="F45" s="2">
        <v>36</v>
      </c>
      <c r="G45" s="24"/>
      <c r="H45" s="24"/>
      <c r="I45" s="24"/>
    </row>
    <row r="46" spans="1:9" s="55" customFormat="1" ht="30" x14ac:dyDescent="0.25">
      <c r="A46" s="136" t="s">
        <v>231</v>
      </c>
      <c r="B46" s="136" t="s">
        <v>231</v>
      </c>
      <c r="C46" s="376" t="s">
        <v>299</v>
      </c>
      <c r="D46" s="15" t="s">
        <v>383</v>
      </c>
      <c r="E46" s="59"/>
      <c r="F46" s="54">
        <v>241</v>
      </c>
      <c r="G46" s="54"/>
      <c r="H46" s="54"/>
      <c r="I46" s="54"/>
    </row>
    <row r="47" spans="1:9" s="55" customFormat="1" ht="30" x14ac:dyDescent="0.25">
      <c r="A47" s="136" t="s">
        <v>231</v>
      </c>
      <c r="B47" s="136" t="s">
        <v>231</v>
      </c>
      <c r="C47" s="376" t="s">
        <v>299</v>
      </c>
      <c r="D47" s="16" t="s">
        <v>194</v>
      </c>
      <c r="E47" s="59"/>
      <c r="F47" s="2">
        <f>SUM(F48:F50)</f>
        <v>20218</v>
      </c>
      <c r="G47" s="54"/>
      <c r="H47" s="54"/>
      <c r="I47" s="54"/>
    </row>
    <row r="48" spans="1:9" s="55" customFormat="1" ht="30" x14ac:dyDescent="0.25">
      <c r="A48" s="136" t="s">
        <v>231</v>
      </c>
      <c r="B48" s="136" t="s">
        <v>231</v>
      </c>
      <c r="C48" s="376" t="s">
        <v>299</v>
      </c>
      <c r="D48" s="15" t="s">
        <v>384</v>
      </c>
      <c r="E48" s="59"/>
      <c r="F48" s="2">
        <v>3741</v>
      </c>
      <c r="G48" s="54"/>
      <c r="H48" s="54"/>
      <c r="I48" s="54"/>
    </row>
    <row r="49" spans="1:9" s="55" customFormat="1" ht="54" customHeight="1" x14ac:dyDescent="0.25">
      <c r="A49" s="136" t="s">
        <v>231</v>
      </c>
      <c r="B49" s="136" t="s">
        <v>231</v>
      </c>
      <c r="C49" s="376" t="s">
        <v>299</v>
      </c>
      <c r="D49" s="15" t="s">
        <v>385</v>
      </c>
      <c r="E49" s="59"/>
      <c r="F49" s="2">
        <v>14638</v>
      </c>
      <c r="G49" s="54"/>
      <c r="H49" s="54"/>
      <c r="I49" s="54"/>
    </row>
    <row r="50" spans="1:9" s="55" customFormat="1" ht="45" x14ac:dyDescent="0.25">
      <c r="A50" s="136" t="s">
        <v>231</v>
      </c>
      <c r="B50" s="136" t="s">
        <v>231</v>
      </c>
      <c r="C50" s="376" t="s">
        <v>299</v>
      </c>
      <c r="D50" s="15" t="s">
        <v>386</v>
      </c>
      <c r="E50" s="59"/>
      <c r="F50" s="10">
        <v>1839</v>
      </c>
      <c r="G50" s="54"/>
      <c r="H50" s="54"/>
      <c r="I50" s="54"/>
    </row>
    <row r="51" spans="1:9" s="145" customFormat="1" x14ac:dyDescent="0.25">
      <c r="A51" s="136" t="s">
        <v>231</v>
      </c>
      <c r="B51" s="136" t="s">
        <v>231</v>
      </c>
      <c r="C51" s="376" t="s">
        <v>299</v>
      </c>
      <c r="D51" s="14" t="s">
        <v>251</v>
      </c>
      <c r="E51" s="13"/>
      <c r="F51" s="2">
        <f>F53+F57+F58+F59+F60+F61*5</f>
        <v>5644</v>
      </c>
      <c r="G51" s="2"/>
      <c r="H51" s="2"/>
      <c r="I51" s="2"/>
    </row>
    <row r="52" spans="1:9" s="145" customFormat="1" x14ac:dyDescent="0.25">
      <c r="A52" s="136" t="s">
        <v>231</v>
      </c>
      <c r="B52" s="136" t="s">
        <v>231</v>
      </c>
      <c r="C52" s="376" t="s">
        <v>299</v>
      </c>
      <c r="D52" s="15" t="s">
        <v>252</v>
      </c>
      <c r="E52" s="41"/>
      <c r="F52" s="2"/>
      <c r="G52" s="2"/>
      <c r="H52" s="2"/>
      <c r="I52" s="2"/>
    </row>
    <row r="53" spans="1:9" s="145" customFormat="1" ht="30" x14ac:dyDescent="0.25">
      <c r="A53" s="136" t="s">
        <v>231</v>
      </c>
      <c r="B53" s="136" t="s">
        <v>231</v>
      </c>
      <c r="C53" s="376" t="s">
        <v>299</v>
      </c>
      <c r="D53" s="16" t="s">
        <v>388</v>
      </c>
      <c r="E53" s="41"/>
      <c r="F53" s="10">
        <f>F54</f>
        <v>100</v>
      </c>
      <c r="G53" s="2"/>
      <c r="H53" s="2"/>
      <c r="I53" s="2"/>
    </row>
    <row r="54" spans="1:9" s="145" customFormat="1" x14ac:dyDescent="0.25">
      <c r="A54" s="136" t="s">
        <v>231</v>
      </c>
      <c r="B54" s="136" t="s">
        <v>231</v>
      </c>
      <c r="C54" s="376" t="s">
        <v>299</v>
      </c>
      <c r="D54" s="15" t="s">
        <v>389</v>
      </c>
      <c r="E54" s="13"/>
      <c r="F54" s="13">
        <v>100</v>
      </c>
      <c r="G54" s="10"/>
      <c r="H54" s="10"/>
      <c r="I54" s="10"/>
    </row>
    <row r="55" spans="1:9" s="55" customFormat="1" ht="30" x14ac:dyDescent="0.25">
      <c r="A55" s="136" t="s">
        <v>231</v>
      </c>
      <c r="B55" s="136" t="s">
        <v>231</v>
      </c>
      <c r="C55" s="376" t="s">
        <v>299</v>
      </c>
      <c r="D55" s="15" t="s">
        <v>390</v>
      </c>
      <c r="E55" s="277"/>
      <c r="F55" s="2"/>
      <c r="G55" s="54"/>
      <c r="H55" s="54"/>
      <c r="I55" s="54"/>
    </row>
    <row r="56" spans="1:9" s="55" customFormat="1" ht="45" x14ac:dyDescent="0.25">
      <c r="A56" s="136" t="s">
        <v>231</v>
      </c>
      <c r="B56" s="136" t="s">
        <v>231</v>
      </c>
      <c r="C56" s="376" t="s">
        <v>299</v>
      </c>
      <c r="D56" s="15" t="s">
        <v>391</v>
      </c>
      <c r="E56" s="61"/>
      <c r="F56" s="59"/>
      <c r="G56" s="62"/>
      <c r="H56" s="62"/>
      <c r="I56" s="62"/>
    </row>
    <row r="57" spans="1:9" s="55" customFormat="1" ht="45" x14ac:dyDescent="0.25">
      <c r="A57" s="136" t="s">
        <v>231</v>
      </c>
      <c r="B57" s="136" t="s">
        <v>231</v>
      </c>
      <c r="C57" s="376" t="s">
        <v>299</v>
      </c>
      <c r="D57" s="15" t="s">
        <v>392</v>
      </c>
      <c r="E57" s="13"/>
      <c r="F57" s="2"/>
      <c r="G57" s="62"/>
      <c r="H57" s="62"/>
      <c r="I57" s="62"/>
    </row>
    <row r="58" spans="1:9" s="55" customFormat="1" ht="50.25" customHeight="1" x14ac:dyDescent="0.25">
      <c r="A58" s="51"/>
      <c r="B58" s="136"/>
      <c r="C58" s="376" t="s">
        <v>299</v>
      </c>
      <c r="D58" s="18" t="s">
        <v>393</v>
      </c>
      <c r="E58" s="13"/>
      <c r="F58" s="53"/>
      <c r="G58" s="62"/>
      <c r="H58" s="62"/>
      <c r="I58" s="43"/>
    </row>
    <row r="59" spans="1:9" s="55" customFormat="1" ht="76.5" customHeight="1" x14ac:dyDescent="0.25">
      <c r="A59" s="51"/>
      <c r="B59" s="136"/>
      <c r="C59" s="376" t="s">
        <v>299</v>
      </c>
      <c r="D59" s="18" t="s">
        <v>394</v>
      </c>
      <c r="E59" s="13"/>
      <c r="F59" s="53">
        <v>1000</v>
      </c>
      <c r="G59" s="56"/>
      <c r="H59" s="56"/>
      <c r="I59" s="74"/>
    </row>
    <row r="60" spans="1:9" s="55" customFormat="1" ht="24" customHeight="1" x14ac:dyDescent="0.25">
      <c r="A60" s="51"/>
      <c r="B60" s="136"/>
      <c r="C60" s="376"/>
      <c r="D60" s="18" t="s">
        <v>395</v>
      </c>
      <c r="E60" s="13"/>
      <c r="F60" s="53">
        <v>4269</v>
      </c>
      <c r="G60" s="56"/>
      <c r="H60" s="56"/>
      <c r="I60" s="74"/>
    </row>
    <row r="61" spans="1:9" s="55" customFormat="1" ht="36" customHeight="1" x14ac:dyDescent="0.25">
      <c r="A61" s="51"/>
      <c r="B61" s="136"/>
      <c r="C61" s="376"/>
      <c r="D61" s="617" t="s">
        <v>422</v>
      </c>
      <c r="E61" s="13"/>
      <c r="F61" s="508">
        <f>F62+F63</f>
        <v>55</v>
      </c>
      <c r="G61" s="56"/>
      <c r="H61" s="56"/>
      <c r="I61" s="74"/>
    </row>
    <row r="62" spans="1:9" s="55" customFormat="1" ht="24" customHeight="1" x14ac:dyDescent="0.25">
      <c r="A62" s="51"/>
      <c r="B62" s="136"/>
      <c r="C62" s="376"/>
      <c r="D62" s="18" t="s">
        <v>423</v>
      </c>
      <c r="E62" s="13"/>
      <c r="F62" s="53">
        <v>20</v>
      </c>
      <c r="G62" s="56"/>
      <c r="H62" s="56"/>
      <c r="I62" s="74"/>
    </row>
    <row r="63" spans="1:9" s="55" customFormat="1" ht="24" customHeight="1" x14ac:dyDescent="0.25">
      <c r="A63" s="51"/>
      <c r="B63" s="136"/>
      <c r="C63" s="376"/>
      <c r="D63" s="18" t="s">
        <v>424</v>
      </c>
      <c r="E63" s="13"/>
      <c r="F63" s="53">
        <v>35</v>
      </c>
      <c r="G63" s="56"/>
      <c r="H63" s="56"/>
      <c r="I63" s="74"/>
    </row>
    <row r="64" spans="1:9" s="55" customFormat="1" x14ac:dyDescent="0.25">
      <c r="A64" s="136" t="s">
        <v>231</v>
      </c>
      <c r="B64" s="136" t="s">
        <v>231</v>
      </c>
      <c r="C64" s="376" t="s">
        <v>299</v>
      </c>
      <c r="D64" s="14" t="s">
        <v>253</v>
      </c>
      <c r="E64" s="13"/>
      <c r="F64" s="54">
        <f>F65+F66</f>
        <v>844.68085106382978</v>
      </c>
      <c r="G64" s="62"/>
      <c r="H64" s="62"/>
      <c r="I64" s="62"/>
    </row>
    <row r="65" spans="1:9" s="55" customFormat="1" x14ac:dyDescent="0.25">
      <c r="A65" s="136" t="s">
        <v>231</v>
      </c>
      <c r="B65" s="136" t="s">
        <v>231</v>
      </c>
      <c r="C65" s="376" t="s">
        <v>299</v>
      </c>
      <c r="D65" s="14" t="s">
        <v>254</v>
      </c>
      <c r="E65" s="13"/>
      <c r="F65" s="54">
        <v>100</v>
      </c>
      <c r="G65" s="62"/>
      <c r="H65" s="62"/>
      <c r="I65" s="62"/>
    </row>
    <row r="66" spans="1:9" s="55" customFormat="1" ht="18" customHeight="1" x14ac:dyDescent="0.25">
      <c r="A66" s="136" t="s">
        <v>231</v>
      </c>
      <c r="B66" s="136" t="s">
        <v>231</v>
      </c>
      <c r="C66" s="376" t="s">
        <v>299</v>
      </c>
      <c r="D66" s="15" t="s">
        <v>255</v>
      </c>
      <c r="E66" s="13"/>
      <c r="F66" s="54">
        <f>F67/9.4</f>
        <v>744.68085106382978</v>
      </c>
      <c r="G66" s="62"/>
      <c r="H66" s="62"/>
      <c r="I66" s="62"/>
    </row>
    <row r="67" spans="1:9" s="55" customFormat="1" x14ac:dyDescent="0.25">
      <c r="A67" s="136" t="s">
        <v>231</v>
      </c>
      <c r="B67" s="136" t="s">
        <v>231</v>
      </c>
      <c r="C67" s="376" t="s">
        <v>299</v>
      </c>
      <c r="D67" s="42" t="s">
        <v>261</v>
      </c>
      <c r="E67" s="13"/>
      <c r="F67" s="54">
        <v>7000</v>
      </c>
      <c r="G67" s="62"/>
      <c r="H67" s="62"/>
      <c r="I67" s="62"/>
    </row>
    <row r="68" spans="1:9" s="55" customFormat="1" ht="28.5" customHeight="1" x14ac:dyDescent="0.25">
      <c r="A68" s="136" t="s">
        <v>231</v>
      </c>
      <c r="B68" s="136" t="s">
        <v>231</v>
      </c>
      <c r="C68" s="376" t="s">
        <v>299</v>
      </c>
      <c r="D68" s="14" t="s">
        <v>256</v>
      </c>
      <c r="E68" s="13"/>
      <c r="F68" s="54">
        <v>21486</v>
      </c>
      <c r="G68" s="62"/>
      <c r="H68" s="62"/>
      <c r="I68" s="62"/>
    </row>
    <row r="69" spans="1:9" s="55" customFormat="1" ht="17.25" customHeight="1" x14ac:dyDescent="0.25">
      <c r="A69" s="136" t="s">
        <v>231</v>
      </c>
      <c r="B69" s="136" t="s">
        <v>231</v>
      </c>
      <c r="C69" s="376" t="s">
        <v>299</v>
      </c>
      <c r="D69" s="19" t="s">
        <v>117</v>
      </c>
      <c r="E69" s="13"/>
      <c r="F69" s="71"/>
      <c r="G69" s="62"/>
      <c r="H69" s="62"/>
      <c r="I69" s="62"/>
    </row>
    <row r="70" spans="1:9" s="55" customFormat="1" ht="68.25" customHeight="1" x14ac:dyDescent="0.25">
      <c r="A70" s="136" t="s">
        <v>231</v>
      </c>
      <c r="B70" s="136" t="s">
        <v>231</v>
      </c>
      <c r="C70" s="376" t="s">
        <v>299</v>
      </c>
      <c r="D70" s="14" t="s">
        <v>257</v>
      </c>
      <c r="E70" s="13"/>
      <c r="F70" s="2">
        <v>5000</v>
      </c>
      <c r="G70" s="62"/>
      <c r="H70" s="62"/>
      <c r="I70" s="62"/>
    </row>
    <row r="71" spans="1:9" s="55" customFormat="1" x14ac:dyDescent="0.25">
      <c r="A71" s="136" t="s">
        <v>231</v>
      </c>
      <c r="B71" s="136" t="s">
        <v>231</v>
      </c>
      <c r="C71" s="376" t="s">
        <v>299</v>
      </c>
      <c r="D71" s="20" t="s">
        <v>165</v>
      </c>
      <c r="E71" s="13"/>
      <c r="F71" s="29">
        <f>SUM(F73:F78)</f>
        <v>4370</v>
      </c>
      <c r="G71" s="62"/>
      <c r="H71" s="62"/>
      <c r="I71" s="62"/>
    </row>
    <row r="72" spans="1:9" s="55" customFormat="1" ht="30" x14ac:dyDescent="0.25">
      <c r="A72" s="136"/>
      <c r="B72" s="136"/>
      <c r="C72" s="376"/>
      <c r="D72" s="147" t="s">
        <v>346</v>
      </c>
      <c r="E72" s="13"/>
      <c r="F72" s="29"/>
      <c r="G72" s="62"/>
      <c r="H72" s="62"/>
      <c r="I72" s="62"/>
    </row>
    <row r="73" spans="1:9" s="55" customFormat="1" ht="20.25" customHeight="1" x14ac:dyDescent="0.25">
      <c r="A73" s="136"/>
      <c r="B73" s="136"/>
      <c r="C73" s="376" t="s">
        <v>299</v>
      </c>
      <c r="D73" s="147" t="s">
        <v>289</v>
      </c>
      <c r="E73" s="13"/>
      <c r="F73" s="2">
        <v>500</v>
      </c>
      <c r="G73" s="62"/>
      <c r="H73" s="62"/>
      <c r="I73" s="62"/>
    </row>
    <row r="74" spans="1:9" s="55" customFormat="1" x14ac:dyDescent="0.25">
      <c r="A74" s="136" t="s">
        <v>231</v>
      </c>
      <c r="B74" s="136" t="s">
        <v>231</v>
      </c>
      <c r="C74" s="376" t="s">
        <v>299</v>
      </c>
      <c r="D74" s="15" t="s">
        <v>17</v>
      </c>
      <c r="E74" s="13"/>
      <c r="F74" s="369">
        <v>1100</v>
      </c>
      <c r="G74" s="62"/>
      <c r="H74" s="62"/>
      <c r="I74" s="62"/>
    </row>
    <row r="75" spans="1:9" s="55" customFormat="1" ht="36.75" customHeight="1" x14ac:dyDescent="0.25">
      <c r="A75" s="136" t="s">
        <v>231</v>
      </c>
      <c r="B75" s="136" t="s">
        <v>231</v>
      </c>
      <c r="C75" s="376" t="s">
        <v>299</v>
      </c>
      <c r="D75" s="82" t="s">
        <v>139</v>
      </c>
      <c r="E75" s="13"/>
      <c r="F75" s="369">
        <v>400</v>
      </c>
      <c r="G75" s="62"/>
      <c r="H75" s="62"/>
      <c r="I75" s="62"/>
    </row>
    <row r="76" spans="1:9" s="55" customFormat="1" ht="81.75" customHeight="1" x14ac:dyDescent="0.25">
      <c r="A76" s="136" t="s">
        <v>231</v>
      </c>
      <c r="B76" s="136" t="s">
        <v>231</v>
      </c>
      <c r="C76" s="376" t="s">
        <v>299</v>
      </c>
      <c r="D76" s="148" t="s">
        <v>267</v>
      </c>
      <c r="E76" s="13"/>
      <c r="F76" s="2">
        <v>370</v>
      </c>
      <c r="G76" s="373"/>
      <c r="H76" s="373"/>
      <c r="I76" s="373"/>
    </row>
    <row r="77" spans="1:9" s="55" customFormat="1" ht="29.25" customHeight="1" x14ac:dyDescent="0.25">
      <c r="A77" s="136" t="s">
        <v>231</v>
      </c>
      <c r="B77" s="136" t="s">
        <v>231</v>
      </c>
      <c r="C77" s="376" t="s">
        <v>299</v>
      </c>
      <c r="D77" s="35" t="s">
        <v>200</v>
      </c>
      <c r="E77" s="13"/>
      <c r="F77" s="227">
        <v>1000</v>
      </c>
      <c r="G77" s="373"/>
      <c r="H77" s="373"/>
      <c r="I77" s="373"/>
    </row>
    <row r="78" spans="1:9" s="55" customFormat="1" ht="18" customHeight="1" x14ac:dyDescent="0.25">
      <c r="A78" s="136" t="s">
        <v>231</v>
      </c>
      <c r="B78" s="136" t="s">
        <v>231</v>
      </c>
      <c r="C78" s="376" t="s">
        <v>299</v>
      </c>
      <c r="D78" s="35" t="s">
        <v>119</v>
      </c>
      <c r="E78" s="13"/>
      <c r="F78" s="227">
        <v>1000</v>
      </c>
      <c r="G78" s="373"/>
      <c r="H78" s="373"/>
      <c r="I78" s="373"/>
    </row>
    <row r="79" spans="1:9" s="55" customFormat="1" ht="50.25" customHeight="1" x14ac:dyDescent="0.25">
      <c r="A79" s="136"/>
      <c r="B79" s="136"/>
      <c r="C79" s="376"/>
      <c r="D79" s="21" t="s">
        <v>396</v>
      </c>
      <c r="E79" s="13"/>
      <c r="F79" s="238">
        <f>F38</f>
        <v>10753</v>
      </c>
      <c r="G79" s="373"/>
      <c r="H79" s="373"/>
      <c r="I79" s="373"/>
    </row>
    <row r="80" spans="1:9" s="55" customFormat="1" ht="18" customHeight="1" x14ac:dyDescent="0.25">
      <c r="A80" s="136" t="s">
        <v>231</v>
      </c>
      <c r="B80" s="136" t="s">
        <v>231</v>
      </c>
      <c r="C80" s="376" t="s">
        <v>299</v>
      </c>
      <c r="D80" s="21" t="s">
        <v>195</v>
      </c>
      <c r="E80" s="13"/>
      <c r="F80" s="29">
        <f>F51+F27</f>
        <v>52344</v>
      </c>
      <c r="G80" s="373"/>
      <c r="H80" s="373"/>
      <c r="I80" s="373"/>
    </row>
    <row r="81" spans="1:9" s="55" customFormat="1" ht="33" customHeight="1" x14ac:dyDescent="0.25">
      <c r="A81" s="136" t="s">
        <v>231</v>
      </c>
      <c r="B81" s="136" t="s">
        <v>231</v>
      </c>
      <c r="C81" s="376" t="s">
        <v>299</v>
      </c>
      <c r="D81" s="21" t="s">
        <v>196</v>
      </c>
      <c r="E81" s="13"/>
      <c r="F81" s="29">
        <f>F39</f>
        <v>36370</v>
      </c>
      <c r="G81" s="373"/>
      <c r="H81" s="373"/>
      <c r="I81" s="373"/>
    </row>
    <row r="82" spans="1:9" s="55" customFormat="1" x14ac:dyDescent="0.25">
      <c r="A82" s="136" t="s">
        <v>231</v>
      </c>
      <c r="B82" s="136" t="s">
        <v>231</v>
      </c>
      <c r="C82" s="376" t="s">
        <v>299</v>
      </c>
      <c r="D82" s="21" t="s">
        <v>197</v>
      </c>
      <c r="E82" s="13"/>
      <c r="F82" s="29">
        <f>F64+F33</f>
        <v>42200.680851063829</v>
      </c>
      <c r="G82" s="373"/>
      <c r="H82" s="373"/>
      <c r="I82" s="373"/>
    </row>
    <row r="83" spans="1:9" s="55" customFormat="1" ht="29.25" x14ac:dyDescent="0.25">
      <c r="A83" s="136" t="s">
        <v>231</v>
      </c>
      <c r="B83" s="136" t="s">
        <v>231</v>
      </c>
      <c r="C83" s="376" t="s">
        <v>299</v>
      </c>
      <c r="D83" s="21" t="s">
        <v>198</v>
      </c>
      <c r="E83" s="13"/>
      <c r="F83" s="29">
        <f>F68+F70</f>
        <v>26486</v>
      </c>
      <c r="G83" s="373"/>
      <c r="H83" s="373"/>
      <c r="I83" s="373"/>
    </row>
    <row r="84" spans="1:9" s="55" customFormat="1" x14ac:dyDescent="0.25">
      <c r="A84" s="136" t="s">
        <v>231</v>
      </c>
      <c r="B84" s="136" t="s">
        <v>231</v>
      </c>
      <c r="C84" s="376" t="s">
        <v>299</v>
      </c>
      <c r="D84" s="22" t="s">
        <v>112</v>
      </c>
      <c r="E84" s="13"/>
      <c r="F84" s="29">
        <f>F80+F81+F83+F65*2.6+F33*2.6+F67/4.2+F79*2.6</f>
        <v>252610.06666666665</v>
      </c>
      <c r="G84" s="373"/>
      <c r="H84" s="373"/>
      <c r="I84" s="373"/>
    </row>
    <row r="85" spans="1:9" s="145" customFormat="1" x14ac:dyDescent="0.25">
      <c r="A85" s="136" t="s">
        <v>231</v>
      </c>
      <c r="B85" s="136" t="s">
        <v>231</v>
      </c>
      <c r="C85" s="376" t="s">
        <v>299</v>
      </c>
      <c r="D85" s="30" t="s">
        <v>7</v>
      </c>
      <c r="E85" s="199"/>
      <c r="F85" s="2"/>
      <c r="G85" s="2"/>
      <c r="H85" s="2"/>
      <c r="I85" s="2"/>
    </row>
    <row r="86" spans="1:9" s="145" customFormat="1" x14ac:dyDescent="0.25">
      <c r="A86" s="136" t="s">
        <v>231</v>
      </c>
      <c r="B86" s="136" t="s">
        <v>231</v>
      </c>
      <c r="C86" s="376" t="s">
        <v>299</v>
      </c>
      <c r="D86" s="40" t="s">
        <v>93</v>
      </c>
      <c r="E86" s="199"/>
      <c r="F86" s="2"/>
      <c r="G86" s="2"/>
      <c r="H86" s="2"/>
      <c r="I86" s="2"/>
    </row>
    <row r="87" spans="1:9" s="145" customFormat="1" x14ac:dyDescent="0.25">
      <c r="A87" s="136" t="s">
        <v>231</v>
      </c>
      <c r="B87" s="136" t="s">
        <v>231</v>
      </c>
      <c r="C87" s="376" t="s">
        <v>299</v>
      </c>
      <c r="D87" s="1" t="s">
        <v>25</v>
      </c>
      <c r="E87" s="336">
        <v>300</v>
      </c>
      <c r="F87" s="2">
        <v>23</v>
      </c>
      <c r="G87" s="337">
        <v>8</v>
      </c>
      <c r="H87" s="2">
        <f>ROUND(I87/E87,0)</f>
        <v>1</v>
      </c>
      <c r="I87" s="2">
        <f>ROUND(F87*G87,0)</f>
        <v>184</v>
      </c>
    </row>
    <row r="88" spans="1:9" s="145" customFormat="1" x14ac:dyDescent="0.25">
      <c r="A88" s="136" t="s">
        <v>231</v>
      </c>
      <c r="B88" s="136" t="s">
        <v>231</v>
      </c>
      <c r="C88" s="376" t="s">
        <v>299</v>
      </c>
      <c r="D88" s="30" t="s">
        <v>9</v>
      </c>
      <c r="E88" s="336"/>
      <c r="F88" s="29">
        <f>SUM(F87)</f>
        <v>23</v>
      </c>
      <c r="G88" s="158">
        <f>I88/F88</f>
        <v>8</v>
      </c>
      <c r="H88" s="29">
        <f>SUM(H84:H87)</f>
        <v>1</v>
      </c>
      <c r="I88" s="29">
        <f>I87</f>
        <v>184</v>
      </c>
    </row>
    <row r="89" spans="1:9" s="145" customFormat="1" x14ac:dyDescent="0.25">
      <c r="A89" s="136" t="s">
        <v>231</v>
      </c>
      <c r="B89" s="136" t="s">
        <v>231</v>
      </c>
      <c r="C89" s="376" t="s">
        <v>299</v>
      </c>
      <c r="D89" s="40" t="s">
        <v>71</v>
      </c>
      <c r="E89" s="336"/>
      <c r="F89" s="31"/>
      <c r="G89" s="36"/>
      <c r="H89" s="31"/>
      <c r="I89" s="31"/>
    </row>
    <row r="90" spans="1:9" s="145" customFormat="1" x14ac:dyDescent="0.25">
      <c r="A90" s="136" t="s">
        <v>231</v>
      </c>
      <c r="B90" s="136" t="s">
        <v>231</v>
      </c>
      <c r="C90" s="376" t="s">
        <v>299</v>
      </c>
      <c r="D90" s="25" t="s">
        <v>20</v>
      </c>
      <c r="E90" s="336">
        <v>240</v>
      </c>
      <c r="F90" s="2">
        <v>900</v>
      </c>
      <c r="G90" s="337">
        <v>8</v>
      </c>
      <c r="H90" s="2">
        <f>ROUND(I90/E90,0)</f>
        <v>30</v>
      </c>
      <c r="I90" s="2">
        <f>ROUND(F90*G90,0)</f>
        <v>7200</v>
      </c>
    </row>
    <row r="91" spans="1:9" s="145" customFormat="1" x14ac:dyDescent="0.25">
      <c r="A91" s="136" t="s">
        <v>231</v>
      </c>
      <c r="B91" s="136" t="s">
        <v>231</v>
      </c>
      <c r="C91" s="376" t="s">
        <v>299</v>
      </c>
      <c r="D91" s="25" t="s">
        <v>37</v>
      </c>
      <c r="E91" s="336">
        <v>240</v>
      </c>
      <c r="F91" s="2">
        <v>700</v>
      </c>
      <c r="G91" s="337">
        <v>8</v>
      </c>
      <c r="H91" s="2">
        <f>ROUND(I91/E91,0)</f>
        <v>23</v>
      </c>
      <c r="I91" s="2">
        <f>ROUND(F91*G91,0)</f>
        <v>5600</v>
      </c>
    </row>
    <row r="92" spans="1:9" s="145" customFormat="1" x14ac:dyDescent="0.25">
      <c r="A92" s="136"/>
      <c r="B92" s="136"/>
      <c r="C92" s="376" t="s">
        <v>299</v>
      </c>
      <c r="D92" s="25" t="s">
        <v>274</v>
      </c>
      <c r="E92" s="336">
        <v>240</v>
      </c>
      <c r="F92" s="2">
        <v>100</v>
      </c>
      <c r="G92" s="47">
        <v>1</v>
      </c>
      <c r="H92" s="2">
        <f>ROUND(I92/E92,0)</f>
        <v>0</v>
      </c>
      <c r="I92" s="2">
        <f>ROUND(F92*G92,0)</f>
        <v>100</v>
      </c>
    </row>
    <row r="93" spans="1:9" s="145" customFormat="1" x14ac:dyDescent="0.25">
      <c r="A93" s="136" t="s">
        <v>231</v>
      </c>
      <c r="B93" s="136" t="s">
        <v>231</v>
      </c>
      <c r="C93" s="376" t="s">
        <v>299</v>
      </c>
      <c r="D93" s="25" t="s">
        <v>13</v>
      </c>
      <c r="E93" s="336">
        <v>240</v>
      </c>
      <c r="F93" s="2">
        <v>100</v>
      </c>
      <c r="G93" s="337">
        <v>8</v>
      </c>
      <c r="H93" s="2">
        <f>ROUND(I93/E93,0)</f>
        <v>3</v>
      </c>
      <c r="I93" s="2">
        <f>ROUND(F93*G93,0)</f>
        <v>800</v>
      </c>
    </row>
    <row r="94" spans="1:9" s="145" customFormat="1" x14ac:dyDescent="0.25">
      <c r="A94" s="136" t="s">
        <v>231</v>
      </c>
      <c r="B94" s="136" t="s">
        <v>231</v>
      </c>
      <c r="C94" s="376" t="s">
        <v>299</v>
      </c>
      <c r="D94" s="25" t="s">
        <v>35</v>
      </c>
      <c r="E94" s="336">
        <v>240</v>
      </c>
      <c r="F94" s="2">
        <v>15</v>
      </c>
      <c r="G94" s="337">
        <v>8</v>
      </c>
      <c r="H94" s="2">
        <f>ROUND(I94/E94,0)</f>
        <v>1</v>
      </c>
      <c r="I94" s="2">
        <f>ROUND(F94*G94,0)</f>
        <v>120</v>
      </c>
    </row>
    <row r="95" spans="1:9" s="145" customFormat="1" x14ac:dyDescent="0.25">
      <c r="A95" s="136" t="s">
        <v>231</v>
      </c>
      <c r="B95" s="136" t="s">
        <v>231</v>
      </c>
      <c r="C95" s="376" t="s">
        <v>299</v>
      </c>
      <c r="D95" s="84" t="s">
        <v>94</v>
      </c>
      <c r="E95" s="391"/>
      <c r="F95" s="29">
        <v>1815</v>
      </c>
      <c r="G95" s="392">
        <f>I95/F95</f>
        <v>7.6143250688705235</v>
      </c>
      <c r="H95" s="31">
        <f>SUM(H90:H94)</f>
        <v>57</v>
      </c>
      <c r="I95" s="31">
        <f>SUM(I90:I94)</f>
        <v>13820</v>
      </c>
    </row>
    <row r="96" spans="1:9" x14ac:dyDescent="0.25">
      <c r="A96" s="136" t="s">
        <v>231</v>
      </c>
      <c r="B96" s="136" t="s">
        <v>231</v>
      </c>
      <c r="C96" s="376" t="s">
        <v>299</v>
      </c>
      <c r="D96" s="26" t="s">
        <v>88</v>
      </c>
      <c r="E96" s="204"/>
      <c r="F96" s="29">
        <f>SUM(F95,F88)</f>
        <v>1838</v>
      </c>
      <c r="G96" s="158">
        <f>I96/F96</f>
        <v>7.619151251360174</v>
      </c>
      <c r="H96" s="29">
        <f>H88+H95</f>
        <v>58</v>
      </c>
      <c r="I96" s="29">
        <f>I88+I95</f>
        <v>14004</v>
      </c>
    </row>
    <row r="97" spans="1:35" x14ac:dyDescent="0.25">
      <c r="A97" s="136" t="s">
        <v>231</v>
      </c>
      <c r="B97" s="136" t="s">
        <v>231</v>
      </c>
      <c r="C97" s="376" t="s">
        <v>299</v>
      </c>
      <c r="D97" s="65"/>
      <c r="E97" s="204"/>
      <c r="F97" s="43"/>
      <c r="G97" s="165"/>
      <c r="H97" s="289"/>
      <c r="I97" s="43"/>
    </row>
    <row r="98" spans="1:35" ht="30" x14ac:dyDescent="0.25">
      <c r="A98" s="136"/>
      <c r="B98" s="136"/>
      <c r="C98" s="376" t="s">
        <v>299</v>
      </c>
      <c r="D98" s="368" t="s">
        <v>276</v>
      </c>
      <c r="E98" s="174"/>
      <c r="F98" s="289"/>
      <c r="G98" s="393"/>
      <c r="H98" s="290"/>
      <c r="I98" s="43"/>
    </row>
    <row r="99" spans="1:35" ht="30" x14ac:dyDescent="0.25">
      <c r="A99" s="136"/>
      <c r="B99" s="136"/>
      <c r="C99" s="376" t="s">
        <v>299</v>
      </c>
      <c r="D99" s="188" t="s">
        <v>277</v>
      </c>
      <c r="E99" s="204"/>
      <c r="F99" s="43"/>
      <c r="G99" s="161"/>
      <c r="H99" s="290"/>
      <c r="I99" s="289"/>
    </row>
    <row r="100" spans="1:35" ht="30" x14ac:dyDescent="0.25">
      <c r="A100" s="136"/>
      <c r="B100" s="136"/>
      <c r="C100" s="376" t="s">
        <v>299</v>
      </c>
      <c r="D100" s="368" t="s">
        <v>278</v>
      </c>
      <c r="E100" s="174"/>
      <c r="F100" s="289"/>
      <c r="G100" s="158"/>
      <c r="H100" s="43"/>
      <c r="I100" s="43"/>
    </row>
    <row r="101" spans="1:35" ht="45" x14ac:dyDescent="0.25">
      <c r="A101" s="136"/>
      <c r="B101" s="136"/>
      <c r="C101" s="376" t="s">
        <v>299</v>
      </c>
      <c r="D101" s="188" t="s">
        <v>279</v>
      </c>
      <c r="E101" s="157"/>
      <c r="F101" s="290"/>
      <c r="G101" s="165"/>
      <c r="H101" s="43"/>
      <c r="I101" s="43"/>
    </row>
    <row r="102" spans="1:35" x14ac:dyDescent="0.25">
      <c r="A102" s="136"/>
      <c r="B102" s="136"/>
      <c r="C102" s="376"/>
      <c r="D102" s="619"/>
      <c r="E102" s="204"/>
      <c r="F102" s="43"/>
      <c r="G102" s="161"/>
      <c r="H102" s="289"/>
      <c r="I102" s="43"/>
    </row>
    <row r="103" spans="1:35" ht="31.5" x14ac:dyDescent="0.25">
      <c r="A103" s="136"/>
      <c r="B103" s="136"/>
      <c r="C103" s="376"/>
      <c r="D103" s="27" t="s">
        <v>104</v>
      </c>
      <c r="E103" s="174"/>
      <c r="F103" s="289">
        <v>70</v>
      </c>
      <c r="G103" s="165"/>
      <c r="H103" s="43"/>
      <c r="I103" s="29"/>
    </row>
    <row r="104" spans="1:35" x14ac:dyDescent="0.25">
      <c r="A104" s="136"/>
      <c r="B104" s="136"/>
      <c r="C104" s="376"/>
      <c r="D104" s="764" t="s">
        <v>166</v>
      </c>
      <c r="E104" s="765"/>
      <c r="F104" s="541">
        <f>F103</f>
        <v>70</v>
      </c>
      <c r="G104" s="648"/>
      <c r="H104" s="289"/>
      <c r="I104" s="289"/>
    </row>
    <row r="105" spans="1:35" s="397" customFormat="1" ht="15.75" thickBot="1" x14ac:dyDescent="0.3">
      <c r="A105" s="136" t="s">
        <v>231</v>
      </c>
      <c r="B105" s="136" t="s">
        <v>231</v>
      </c>
      <c r="C105" s="376" t="s">
        <v>299</v>
      </c>
      <c r="D105" s="381" t="s">
        <v>213</v>
      </c>
      <c r="E105" s="394"/>
      <c r="F105" s="395"/>
      <c r="G105" s="394"/>
      <c r="H105" s="394"/>
      <c r="I105" s="394"/>
      <c r="J105" s="396"/>
      <c r="K105" s="396"/>
      <c r="L105" s="396"/>
      <c r="M105" s="396"/>
      <c r="N105" s="396"/>
      <c r="O105" s="396"/>
      <c r="P105" s="396"/>
      <c r="Q105" s="396"/>
      <c r="R105" s="396"/>
      <c r="S105" s="396"/>
      <c r="T105" s="396"/>
      <c r="U105" s="396"/>
      <c r="V105" s="396"/>
      <c r="W105" s="396"/>
      <c r="X105" s="396"/>
      <c r="Y105" s="396"/>
      <c r="Z105" s="396"/>
      <c r="AA105" s="396"/>
      <c r="AB105" s="396"/>
      <c r="AC105" s="396"/>
      <c r="AD105" s="396"/>
      <c r="AE105" s="396"/>
      <c r="AF105" s="396"/>
      <c r="AG105" s="396"/>
      <c r="AH105" s="396"/>
      <c r="AI105" s="396"/>
    </row>
    <row r="106" spans="1:35" ht="31.5" hidden="1" x14ac:dyDescent="0.25">
      <c r="A106" s="131">
        <v>1</v>
      </c>
      <c r="B106" s="136" t="s">
        <v>232</v>
      </c>
      <c r="C106" s="376" t="s">
        <v>299</v>
      </c>
      <c r="D106" s="763" t="s">
        <v>314</v>
      </c>
      <c r="E106" s="633"/>
      <c r="F106" s="494"/>
      <c r="G106" s="2"/>
      <c r="H106" s="2"/>
      <c r="I106" s="2"/>
    </row>
    <row r="107" spans="1:35" hidden="1" x14ac:dyDescent="0.25">
      <c r="A107" s="131">
        <v>1</v>
      </c>
      <c r="B107" s="136" t="s">
        <v>232</v>
      </c>
      <c r="C107" s="376" t="s">
        <v>299</v>
      </c>
      <c r="D107" s="137" t="s">
        <v>4</v>
      </c>
      <c r="E107" s="398"/>
      <c r="F107" s="2"/>
      <c r="G107" s="2"/>
      <c r="H107" s="2"/>
      <c r="I107" s="2"/>
    </row>
    <row r="108" spans="1:35" hidden="1" x14ac:dyDescent="0.25">
      <c r="A108" s="131">
        <v>1</v>
      </c>
      <c r="B108" s="136" t="s">
        <v>232</v>
      </c>
      <c r="C108" s="376" t="s">
        <v>299</v>
      </c>
      <c r="D108" s="141" t="s">
        <v>37</v>
      </c>
      <c r="E108" s="336">
        <v>340</v>
      </c>
      <c r="F108" s="620">
        <v>626</v>
      </c>
      <c r="G108" s="337">
        <v>12</v>
      </c>
      <c r="H108" s="2">
        <f>ROUND(I108/E108,0)</f>
        <v>22</v>
      </c>
      <c r="I108" s="2">
        <f>ROUND(F108*G108,0)</f>
        <v>7512</v>
      </c>
    </row>
    <row r="109" spans="1:35" hidden="1" x14ac:dyDescent="0.25">
      <c r="A109" s="131">
        <v>1</v>
      </c>
      <c r="B109" s="136" t="s">
        <v>232</v>
      </c>
      <c r="C109" s="376" t="s">
        <v>299</v>
      </c>
      <c r="D109" s="141" t="s">
        <v>41</v>
      </c>
      <c r="E109" s="336">
        <v>340</v>
      </c>
      <c r="F109" s="620">
        <v>335</v>
      </c>
      <c r="G109" s="337">
        <v>10.5</v>
      </c>
      <c r="H109" s="2">
        <f>ROUND(I109/E109,0)</f>
        <v>10</v>
      </c>
      <c r="I109" s="2">
        <f>ROUND(F109*G109,0)</f>
        <v>3518</v>
      </c>
    </row>
    <row r="110" spans="1:35" hidden="1" x14ac:dyDescent="0.25">
      <c r="A110" s="131">
        <v>1</v>
      </c>
      <c r="B110" s="136" t="s">
        <v>232</v>
      </c>
      <c r="C110" s="376" t="s">
        <v>299</v>
      </c>
      <c r="D110" s="141" t="s">
        <v>35</v>
      </c>
      <c r="E110" s="336">
        <v>340</v>
      </c>
      <c r="F110" s="620">
        <v>962</v>
      </c>
      <c r="G110" s="337">
        <v>10.5</v>
      </c>
      <c r="H110" s="2">
        <f>ROUND(I110/E110,0)</f>
        <v>30</v>
      </c>
      <c r="I110" s="2">
        <f>ROUND(F110*G110,0)</f>
        <v>10101</v>
      </c>
    </row>
    <row r="111" spans="1:35" s="145" customFormat="1" hidden="1" x14ac:dyDescent="0.25">
      <c r="A111" s="131">
        <v>1</v>
      </c>
      <c r="B111" s="136" t="s">
        <v>232</v>
      </c>
      <c r="C111" s="376" t="s">
        <v>299</v>
      </c>
      <c r="D111" s="390" t="s">
        <v>5</v>
      </c>
      <c r="E111" s="199"/>
      <c r="F111" s="29">
        <f>SUM(F108:F110)</f>
        <v>1923</v>
      </c>
      <c r="G111" s="158">
        <f>I111/F111</f>
        <v>10.988559542381696</v>
      </c>
      <c r="H111" s="29">
        <f>H108+H109+H110</f>
        <v>62</v>
      </c>
      <c r="I111" s="29">
        <f>I108+I109+I110</f>
        <v>21131</v>
      </c>
    </row>
    <row r="112" spans="1:35" s="145" customFormat="1" hidden="1" x14ac:dyDescent="0.25">
      <c r="A112" s="131">
        <v>1</v>
      </c>
      <c r="B112" s="136" t="s">
        <v>232</v>
      </c>
      <c r="C112" s="376" t="s">
        <v>299</v>
      </c>
      <c r="D112" s="141"/>
      <c r="E112" s="139"/>
      <c r="F112" s="10"/>
      <c r="G112" s="140"/>
      <c r="H112" s="2"/>
      <c r="I112" s="2"/>
    </row>
    <row r="113" spans="1:9" s="55" customFormat="1" ht="60" hidden="1" x14ac:dyDescent="0.25">
      <c r="A113" s="131">
        <v>1</v>
      </c>
      <c r="B113" s="136" t="s">
        <v>232</v>
      </c>
      <c r="C113" s="376" t="s">
        <v>299</v>
      </c>
      <c r="D113" s="621" t="s">
        <v>250</v>
      </c>
      <c r="E113" s="12"/>
      <c r="F113" s="77"/>
      <c r="G113" s="54"/>
      <c r="H113" s="54"/>
      <c r="I113" s="54"/>
    </row>
    <row r="114" spans="1:9" s="55" customFormat="1" hidden="1" x14ac:dyDescent="0.25">
      <c r="A114" s="131"/>
      <c r="B114" s="136" t="s">
        <v>232</v>
      </c>
      <c r="C114" s="376" t="s">
        <v>299</v>
      </c>
      <c r="D114" s="14" t="s">
        <v>192</v>
      </c>
      <c r="E114" s="12"/>
      <c r="F114" s="77">
        <f>F116+F117+F118+F119</f>
        <v>17850</v>
      </c>
      <c r="G114" s="54"/>
      <c r="H114" s="54"/>
      <c r="I114" s="54"/>
    </row>
    <row r="115" spans="1:9" s="55" customFormat="1" hidden="1" x14ac:dyDescent="0.25">
      <c r="A115" s="131"/>
      <c r="B115" s="136" t="s">
        <v>232</v>
      </c>
      <c r="C115" s="376" t="s">
        <v>299</v>
      </c>
      <c r="D115" s="18" t="s">
        <v>116</v>
      </c>
      <c r="E115" s="12"/>
      <c r="F115" s="77"/>
      <c r="G115" s="54"/>
      <c r="H115" s="54"/>
      <c r="I115" s="54"/>
    </row>
    <row r="116" spans="1:9" s="55" customFormat="1" ht="30" hidden="1" x14ac:dyDescent="0.25">
      <c r="A116" s="131"/>
      <c r="B116" s="136" t="s">
        <v>232</v>
      </c>
      <c r="C116" s="376" t="s">
        <v>299</v>
      </c>
      <c r="D116" s="16" t="s">
        <v>397</v>
      </c>
      <c r="E116" s="12"/>
      <c r="F116" s="77">
        <v>5700</v>
      </c>
      <c r="G116" s="54"/>
      <c r="H116" s="54"/>
      <c r="I116" s="54"/>
    </row>
    <row r="117" spans="1:9" s="55" customFormat="1" ht="45" hidden="1" x14ac:dyDescent="0.25">
      <c r="A117" s="131"/>
      <c r="B117" s="136" t="s">
        <v>232</v>
      </c>
      <c r="C117" s="376" t="s">
        <v>299</v>
      </c>
      <c r="D117" s="15" t="s">
        <v>398</v>
      </c>
      <c r="E117" s="12"/>
      <c r="F117" s="62">
        <v>6150</v>
      </c>
      <c r="G117" s="54"/>
      <c r="H117" s="54"/>
      <c r="I117" s="54"/>
    </row>
    <row r="118" spans="1:9" s="55" customFormat="1" ht="45" hidden="1" x14ac:dyDescent="0.25">
      <c r="A118" s="131"/>
      <c r="B118" s="136" t="s">
        <v>232</v>
      </c>
      <c r="C118" s="376" t="s">
        <v>299</v>
      </c>
      <c r="D118" s="15" t="s">
        <v>399</v>
      </c>
      <c r="E118" s="12"/>
      <c r="F118" s="62">
        <v>5000</v>
      </c>
      <c r="G118" s="54"/>
      <c r="H118" s="54"/>
      <c r="I118" s="54"/>
    </row>
    <row r="119" spans="1:9" s="55" customFormat="1" ht="75" hidden="1" x14ac:dyDescent="0.25">
      <c r="A119" s="131"/>
      <c r="B119" s="136"/>
      <c r="C119" s="376" t="s">
        <v>299</v>
      </c>
      <c r="D119" s="15" t="s">
        <v>400</v>
      </c>
      <c r="E119" s="12"/>
      <c r="F119" s="62">
        <v>1000</v>
      </c>
      <c r="G119" s="54"/>
      <c r="H119" s="54"/>
      <c r="I119" s="54"/>
    </row>
    <row r="120" spans="1:9" s="55" customFormat="1" hidden="1" x14ac:dyDescent="0.25">
      <c r="A120" s="131"/>
      <c r="B120" s="136" t="s">
        <v>232</v>
      </c>
      <c r="C120" s="376" t="s">
        <v>299</v>
      </c>
      <c r="D120" s="57" t="s">
        <v>90</v>
      </c>
      <c r="E120" s="12"/>
      <c r="F120" s="77">
        <f>F121+F122+F123</f>
        <v>36691</v>
      </c>
      <c r="G120" s="54"/>
      <c r="H120" s="54"/>
      <c r="I120" s="54"/>
    </row>
    <row r="121" spans="1:9" s="55" customFormat="1" hidden="1" x14ac:dyDescent="0.25">
      <c r="A121" s="131"/>
      <c r="B121" s="136" t="s">
        <v>232</v>
      </c>
      <c r="C121" s="376" t="s">
        <v>299</v>
      </c>
      <c r="D121" s="15" t="s">
        <v>145</v>
      </c>
      <c r="E121" s="12"/>
      <c r="F121" s="62">
        <v>34158</v>
      </c>
      <c r="G121" s="54"/>
      <c r="H121" s="54"/>
      <c r="I121" s="54"/>
    </row>
    <row r="122" spans="1:9" s="55" customFormat="1" ht="45" hidden="1" x14ac:dyDescent="0.25">
      <c r="A122" s="131"/>
      <c r="B122" s="136"/>
      <c r="C122" s="376"/>
      <c r="D122" s="15" t="s">
        <v>414</v>
      </c>
      <c r="E122" s="12"/>
      <c r="F122" s="62">
        <v>935</v>
      </c>
      <c r="G122" s="54"/>
      <c r="H122" s="54"/>
      <c r="I122" s="54"/>
    </row>
    <row r="123" spans="1:9" s="55" customFormat="1" ht="60" hidden="1" x14ac:dyDescent="0.25">
      <c r="A123" s="131"/>
      <c r="B123" s="136"/>
      <c r="C123" s="376"/>
      <c r="D123" s="15" t="s">
        <v>421</v>
      </c>
      <c r="E123" s="12"/>
      <c r="F123" s="62">
        <v>1598</v>
      </c>
      <c r="G123" s="54"/>
      <c r="H123" s="54"/>
      <c r="I123" s="54"/>
    </row>
    <row r="124" spans="1:9" s="55" customFormat="1" hidden="1" x14ac:dyDescent="0.25">
      <c r="A124" s="131"/>
      <c r="B124" s="136"/>
      <c r="C124" s="376"/>
      <c r="D124" s="33" t="s">
        <v>98</v>
      </c>
      <c r="E124" s="12"/>
      <c r="F124" s="62"/>
      <c r="G124" s="54"/>
      <c r="H124" s="54"/>
      <c r="I124" s="54"/>
    </row>
    <row r="125" spans="1:9" s="55" customFormat="1" ht="75" hidden="1" x14ac:dyDescent="0.25">
      <c r="A125" s="131"/>
      <c r="B125" s="136"/>
      <c r="C125" s="376"/>
      <c r="D125" s="15" t="s">
        <v>420</v>
      </c>
      <c r="E125" s="12"/>
      <c r="F125" s="62">
        <v>7989</v>
      </c>
      <c r="G125" s="54"/>
      <c r="H125" s="54"/>
      <c r="I125" s="54"/>
    </row>
    <row r="126" spans="1:9" s="55" customFormat="1" ht="47.25" hidden="1" x14ac:dyDescent="0.25">
      <c r="A126" s="131"/>
      <c r="B126" s="136" t="s">
        <v>232</v>
      </c>
      <c r="C126" s="376" t="s">
        <v>299</v>
      </c>
      <c r="D126" s="58" t="s">
        <v>333</v>
      </c>
      <c r="E126" s="12"/>
      <c r="F126" s="77">
        <f>F127+F134</f>
        <v>16352</v>
      </c>
      <c r="G126" s="54"/>
      <c r="H126" s="54"/>
      <c r="I126" s="54"/>
    </row>
    <row r="127" spans="1:9" s="55" customFormat="1" ht="30" hidden="1" x14ac:dyDescent="0.25">
      <c r="A127" s="131"/>
      <c r="B127" s="136" t="s">
        <v>232</v>
      </c>
      <c r="C127" s="376" t="s">
        <v>299</v>
      </c>
      <c r="D127" s="16" t="s">
        <v>193</v>
      </c>
      <c r="E127" s="12"/>
      <c r="F127" s="77">
        <f>SUM(F128:F133)</f>
        <v>9185</v>
      </c>
      <c r="G127" s="54"/>
      <c r="H127" s="54"/>
      <c r="I127" s="54"/>
    </row>
    <row r="128" spans="1:9" s="55" customFormat="1" ht="30" hidden="1" x14ac:dyDescent="0.25">
      <c r="A128" s="131"/>
      <c r="B128" s="136" t="s">
        <v>232</v>
      </c>
      <c r="C128" s="376" t="s">
        <v>299</v>
      </c>
      <c r="D128" s="15" t="s">
        <v>334</v>
      </c>
      <c r="E128" s="12"/>
      <c r="F128" s="62">
        <v>8233</v>
      </c>
      <c r="G128" s="54"/>
      <c r="H128" s="54"/>
      <c r="I128" s="54"/>
    </row>
    <row r="129" spans="1:9" s="55" customFormat="1" ht="45" hidden="1" x14ac:dyDescent="0.25">
      <c r="A129" s="131"/>
      <c r="B129" s="136" t="s">
        <v>232</v>
      </c>
      <c r="C129" s="376" t="s">
        <v>299</v>
      </c>
      <c r="D129" s="15" t="s">
        <v>402</v>
      </c>
      <c r="E129" s="12"/>
      <c r="F129" s="77"/>
      <c r="G129" s="54"/>
      <c r="H129" s="54"/>
      <c r="I129" s="54"/>
    </row>
    <row r="130" spans="1:9" s="55" customFormat="1" ht="30" hidden="1" x14ac:dyDescent="0.25">
      <c r="A130" s="131"/>
      <c r="B130" s="136"/>
      <c r="C130" s="376"/>
      <c r="D130" s="15" t="s">
        <v>380</v>
      </c>
      <c r="E130" s="12"/>
      <c r="F130" s="77">
        <v>896</v>
      </c>
      <c r="G130" s="54"/>
      <c r="H130" s="54"/>
      <c r="I130" s="54"/>
    </row>
    <row r="131" spans="1:9" s="55" customFormat="1" ht="30" hidden="1" x14ac:dyDescent="0.25">
      <c r="A131" s="131"/>
      <c r="B131" s="136"/>
      <c r="C131" s="376"/>
      <c r="D131" s="15" t="s">
        <v>381</v>
      </c>
      <c r="E131" s="12"/>
      <c r="F131" s="77"/>
      <c r="G131" s="54"/>
      <c r="H131" s="54"/>
      <c r="I131" s="54"/>
    </row>
    <row r="132" spans="1:9" s="55" customFormat="1" ht="30" hidden="1" x14ac:dyDescent="0.25">
      <c r="A132" s="131"/>
      <c r="B132" s="136" t="s">
        <v>232</v>
      </c>
      <c r="C132" s="376" t="s">
        <v>299</v>
      </c>
      <c r="D132" s="15" t="s">
        <v>382</v>
      </c>
      <c r="E132" s="12"/>
      <c r="F132" s="77"/>
      <c r="G132" s="54"/>
      <c r="H132" s="54"/>
      <c r="I132" s="54"/>
    </row>
    <row r="133" spans="1:9" s="55" customFormat="1" ht="30" hidden="1" x14ac:dyDescent="0.25">
      <c r="A133" s="131">
        <v>1</v>
      </c>
      <c r="B133" s="136" t="s">
        <v>232</v>
      </c>
      <c r="C133" s="376" t="s">
        <v>299</v>
      </c>
      <c r="D133" s="15" t="s">
        <v>383</v>
      </c>
      <c r="E133" s="59"/>
      <c r="F133" s="54">
        <v>56</v>
      </c>
      <c r="G133" s="54"/>
      <c r="H133" s="54"/>
      <c r="I133" s="54"/>
    </row>
    <row r="134" spans="1:9" s="55" customFormat="1" ht="30" hidden="1" x14ac:dyDescent="0.25">
      <c r="A134" s="131">
        <v>1</v>
      </c>
      <c r="B134" s="136" t="s">
        <v>232</v>
      </c>
      <c r="C134" s="376" t="s">
        <v>299</v>
      </c>
      <c r="D134" s="16" t="s">
        <v>194</v>
      </c>
      <c r="E134" s="24"/>
      <c r="F134" s="29">
        <f>SUM(F135:F137)</f>
        <v>7167</v>
      </c>
      <c r="G134" s="24"/>
      <c r="H134" s="24"/>
      <c r="I134" s="24"/>
    </row>
    <row r="135" spans="1:9" s="55" customFormat="1" ht="30" hidden="1" x14ac:dyDescent="0.25">
      <c r="A135" s="131">
        <v>1</v>
      </c>
      <c r="B135" s="136" t="s">
        <v>232</v>
      </c>
      <c r="C135" s="376" t="s">
        <v>299</v>
      </c>
      <c r="D135" s="15" t="s">
        <v>384</v>
      </c>
      <c r="E135" s="59"/>
      <c r="F135" s="54">
        <v>2165</v>
      </c>
      <c r="G135" s="54"/>
      <c r="H135" s="54"/>
      <c r="I135" s="54"/>
    </row>
    <row r="136" spans="1:9" s="55" customFormat="1" ht="45" hidden="1" x14ac:dyDescent="0.25">
      <c r="A136" s="131">
        <v>1</v>
      </c>
      <c r="B136" s="136" t="s">
        <v>232</v>
      </c>
      <c r="C136" s="376" t="s">
        <v>299</v>
      </c>
      <c r="D136" s="15" t="s">
        <v>385</v>
      </c>
      <c r="E136" s="59"/>
      <c r="F136" s="2">
        <v>2992</v>
      </c>
      <c r="G136" s="54"/>
      <c r="H136" s="54"/>
      <c r="I136" s="54"/>
    </row>
    <row r="137" spans="1:9" s="55" customFormat="1" ht="45" hidden="1" x14ac:dyDescent="0.25">
      <c r="A137" s="131">
        <v>1</v>
      </c>
      <c r="B137" s="136" t="s">
        <v>232</v>
      </c>
      <c r="C137" s="376" t="s">
        <v>299</v>
      </c>
      <c r="D137" s="15" t="s">
        <v>386</v>
      </c>
      <c r="E137" s="59"/>
      <c r="F137" s="2">
        <v>2010</v>
      </c>
      <c r="G137" s="54"/>
      <c r="H137" s="54"/>
      <c r="I137" s="54"/>
    </row>
    <row r="138" spans="1:9" s="55" customFormat="1" hidden="1" x14ac:dyDescent="0.25">
      <c r="A138" s="131">
        <v>1</v>
      </c>
      <c r="B138" s="136" t="s">
        <v>232</v>
      </c>
      <c r="C138" s="376" t="s">
        <v>299</v>
      </c>
      <c r="D138" s="14" t="s">
        <v>251</v>
      </c>
      <c r="E138" s="59"/>
      <c r="F138" s="29">
        <f>SUM(F139,F140,F144,F145,F146,F147)</f>
        <v>2732.5</v>
      </c>
      <c r="G138" s="54"/>
      <c r="H138" s="54"/>
      <c r="I138" s="54"/>
    </row>
    <row r="139" spans="1:9" s="55" customFormat="1" hidden="1" x14ac:dyDescent="0.25">
      <c r="A139" s="131">
        <v>1</v>
      </c>
      <c r="B139" s="136" t="s">
        <v>232</v>
      </c>
      <c r="C139" s="376" t="s">
        <v>299</v>
      </c>
      <c r="D139" s="15" t="s">
        <v>252</v>
      </c>
      <c r="E139" s="59"/>
      <c r="F139" s="10"/>
      <c r="G139" s="54"/>
      <c r="H139" s="54"/>
      <c r="I139" s="54"/>
    </row>
    <row r="140" spans="1:9" s="145" customFormat="1" ht="30" hidden="1" x14ac:dyDescent="0.25">
      <c r="A140" s="131">
        <v>1</v>
      </c>
      <c r="B140" s="136" t="s">
        <v>232</v>
      </c>
      <c r="C140" s="376" t="s">
        <v>299</v>
      </c>
      <c r="D140" s="16" t="s">
        <v>388</v>
      </c>
      <c r="E140" s="13"/>
      <c r="F140" s="2">
        <f>F141+F142/4+F143</f>
        <v>212.5</v>
      </c>
      <c r="G140" s="2"/>
      <c r="H140" s="2"/>
      <c r="I140" s="2"/>
    </row>
    <row r="141" spans="1:9" s="145" customFormat="1" hidden="1" x14ac:dyDescent="0.25">
      <c r="A141" s="131"/>
      <c r="B141" s="136" t="s">
        <v>232</v>
      </c>
      <c r="C141" s="376" t="s">
        <v>299</v>
      </c>
      <c r="D141" s="15" t="s">
        <v>389</v>
      </c>
      <c r="E141" s="13"/>
      <c r="F141" s="13"/>
      <c r="G141" s="10"/>
      <c r="H141" s="10"/>
      <c r="I141" s="10"/>
    </row>
    <row r="142" spans="1:9" s="145" customFormat="1" ht="30" hidden="1" x14ac:dyDescent="0.25">
      <c r="A142" s="131">
        <v>1</v>
      </c>
      <c r="B142" s="136" t="s">
        <v>232</v>
      </c>
      <c r="C142" s="376" t="s">
        <v>299</v>
      </c>
      <c r="D142" s="15" t="s">
        <v>390</v>
      </c>
      <c r="E142" s="41"/>
      <c r="F142" s="2">
        <v>850</v>
      </c>
      <c r="G142" s="2"/>
      <c r="H142" s="2"/>
      <c r="I142" s="2"/>
    </row>
    <row r="143" spans="1:9" s="145" customFormat="1" ht="45" hidden="1" x14ac:dyDescent="0.25">
      <c r="A143" s="131">
        <v>1</v>
      </c>
      <c r="B143" s="136" t="s">
        <v>232</v>
      </c>
      <c r="C143" s="376" t="s">
        <v>299</v>
      </c>
      <c r="D143" s="15" t="s">
        <v>391</v>
      </c>
      <c r="E143" s="41"/>
      <c r="F143" s="10"/>
      <c r="G143" s="2"/>
      <c r="H143" s="2"/>
      <c r="I143" s="2"/>
    </row>
    <row r="144" spans="1:9" s="55" customFormat="1" ht="45" hidden="1" x14ac:dyDescent="0.25">
      <c r="A144" s="131">
        <v>1</v>
      </c>
      <c r="B144" s="136" t="s">
        <v>232</v>
      </c>
      <c r="C144" s="376" t="s">
        <v>299</v>
      </c>
      <c r="D144" s="15" t="s">
        <v>392</v>
      </c>
      <c r="E144" s="13"/>
      <c r="F144" s="2"/>
      <c r="G144" s="62"/>
      <c r="H144" s="62"/>
      <c r="I144" s="62"/>
    </row>
    <row r="145" spans="1:9" s="55" customFormat="1" ht="45" hidden="1" x14ac:dyDescent="0.25">
      <c r="A145" s="131">
        <v>1</v>
      </c>
      <c r="B145" s="136" t="s">
        <v>232</v>
      </c>
      <c r="C145" s="376" t="s">
        <v>299</v>
      </c>
      <c r="D145" s="18" t="s">
        <v>393</v>
      </c>
      <c r="E145" s="13"/>
      <c r="F145" s="2"/>
      <c r="G145" s="62"/>
      <c r="H145" s="62"/>
      <c r="I145" s="62"/>
    </row>
    <row r="146" spans="1:9" s="55" customFormat="1" ht="75" hidden="1" x14ac:dyDescent="0.25">
      <c r="A146" s="51"/>
      <c r="B146" s="136"/>
      <c r="C146" s="376" t="s">
        <v>299</v>
      </c>
      <c r="D146" s="18" t="s">
        <v>394</v>
      </c>
      <c r="E146" s="13"/>
      <c r="F146" s="53">
        <v>50</v>
      </c>
      <c r="G146" s="62"/>
      <c r="H146" s="62"/>
      <c r="I146" s="43"/>
    </row>
    <row r="147" spans="1:9" s="55" customFormat="1" ht="30" hidden="1" x14ac:dyDescent="0.25">
      <c r="A147" s="51"/>
      <c r="B147" s="136"/>
      <c r="C147" s="376"/>
      <c r="D147" s="18" t="s">
        <v>395</v>
      </c>
      <c r="E147" s="13"/>
      <c r="F147" s="53">
        <v>2470</v>
      </c>
      <c r="G147" s="62"/>
      <c r="H147" s="62"/>
      <c r="I147" s="43"/>
    </row>
    <row r="148" spans="1:9" s="55" customFormat="1" hidden="1" x14ac:dyDescent="0.25">
      <c r="A148" s="131">
        <v>1</v>
      </c>
      <c r="B148" s="136" t="s">
        <v>232</v>
      </c>
      <c r="C148" s="376" t="s">
        <v>299</v>
      </c>
      <c r="D148" s="14" t="s">
        <v>253</v>
      </c>
      <c r="E148" s="13"/>
      <c r="F148" s="2">
        <f>F149+F150</f>
        <v>7446.8085106382978</v>
      </c>
      <c r="G148" s="62"/>
      <c r="H148" s="62"/>
      <c r="I148" s="62"/>
    </row>
    <row r="149" spans="1:9" s="55" customFormat="1" hidden="1" x14ac:dyDescent="0.25">
      <c r="A149" s="131">
        <v>1</v>
      </c>
      <c r="B149" s="136" t="s">
        <v>232</v>
      </c>
      <c r="C149" s="376" t="s">
        <v>299</v>
      </c>
      <c r="D149" s="14" t="s">
        <v>254</v>
      </c>
      <c r="E149" s="13"/>
      <c r="F149" s="2"/>
      <c r="G149" s="62"/>
      <c r="H149" s="62"/>
      <c r="I149" s="62"/>
    </row>
    <row r="150" spans="1:9" s="55" customFormat="1" hidden="1" x14ac:dyDescent="0.25">
      <c r="A150" s="131">
        <v>1</v>
      </c>
      <c r="B150" s="136" t="s">
        <v>232</v>
      </c>
      <c r="C150" s="376" t="s">
        <v>299</v>
      </c>
      <c r="D150" s="15" t="s">
        <v>255</v>
      </c>
      <c r="E150" s="13"/>
      <c r="F150" s="54">
        <f>F151/9.4</f>
        <v>7446.8085106382978</v>
      </c>
      <c r="G150" s="62"/>
      <c r="H150" s="62"/>
      <c r="I150" s="62"/>
    </row>
    <row r="151" spans="1:9" s="55" customFormat="1" hidden="1" x14ac:dyDescent="0.25">
      <c r="A151" s="131">
        <v>1</v>
      </c>
      <c r="B151" s="136" t="s">
        <v>232</v>
      </c>
      <c r="C151" s="376" t="s">
        <v>299</v>
      </c>
      <c r="D151" s="42" t="s">
        <v>261</v>
      </c>
      <c r="E151" s="13"/>
      <c r="F151" s="54">
        <v>70000</v>
      </c>
      <c r="G151" s="62"/>
      <c r="H151" s="62"/>
      <c r="I151" s="62"/>
    </row>
    <row r="152" spans="1:9" s="55" customFormat="1" ht="29.25" hidden="1" x14ac:dyDescent="0.25">
      <c r="A152" s="131">
        <v>1</v>
      </c>
      <c r="B152" s="136" t="s">
        <v>232</v>
      </c>
      <c r="C152" s="376" t="s">
        <v>299</v>
      </c>
      <c r="D152" s="14" t="s">
        <v>256</v>
      </c>
      <c r="E152" s="13"/>
      <c r="F152" s="54">
        <v>11150</v>
      </c>
      <c r="G152" s="62"/>
      <c r="H152" s="62"/>
      <c r="I152" s="62"/>
    </row>
    <row r="153" spans="1:9" s="55" customFormat="1" hidden="1" x14ac:dyDescent="0.25">
      <c r="A153" s="131">
        <v>1</v>
      </c>
      <c r="B153" s="136" t="s">
        <v>232</v>
      </c>
      <c r="C153" s="376" t="s">
        <v>299</v>
      </c>
      <c r="D153" s="19" t="s">
        <v>117</v>
      </c>
      <c r="E153" s="13"/>
      <c r="F153" s="54"/>
      <c r="G153" s="62"/>
      <c r="H153" s="62"/>
      <c r="I153" s="62"/>
    </row>
    <row r="154" spans="1:9" s="55" customFormat="1" ht="57.75" hidden="1" x14ac:dyDescent="0.25">
      <c r="A154" s="131">
        <v>1</v>
      </c>
      <c r="B154" s="136" t="s">
        <v>232</v>
      </c>
      <c r="C154" s="376" t="s">
        <v>299</v>
      </c>
      <c r="D154" s="14" t="s">
        <v>257</v>
      </c>
      <c r="E154" s="13"/>
      <c r="F154" s="54">
        <v>50</v>
      </c>
      <c r="G154" s="62"/>
      <c r="H154" s="62"/>
      <c r="I154" s="62"/>
    </row>
    <row r="155" spans="1:9" s="55" customFormat="1" hidden="1" x14ac:dyDescent="0.25">
      <c r="A155" s="131">
        <v>1</v>
      </c>
      <c r="B155" s="136" t="s">
        <v>232</v>
      </c>
      <c r="C155" s="376" t="s">
        <v>299</v>
      </c>
      <c r="D155" s="20" t="s">
        <v>165</v>
      </c>
      <c r="E155" s="13"/>
      <c r="F155" s="86">
        <f>SUM(F156:F158)</f>
        <v>1750</v>
      </c>
      <c r="G155" s="62"/>
      <c r="H155" s="62"/>
      <c r="I155" s="62"/>
    </row>
    <row r="156" spans="1:9" s="55" customFormat="1" ht="30" hidden="1" x14ac:dyDescent="0.25">
      <c r="A156" s="131">
        <v>1</v>
      </c>
      <c r="B156" s="136" t="s">
        <v>232</v>
      </c>
      <c r="C156" s="376" t="s">
        <v>299</v>
      </c>
      <c r="D156" s="35" t="s">
        <v>199</v>
      </c>
      <c r="E156" s="13"/>
      <c r="F156" s="2">
        <v>600</v>
      </c>
      <c r="G156" s="62"/>
      <c r="H156" s="62"/>
      <c r="I156" s="62"/>
    </row>
    <row r="157" spans="1:9" s="55" customFormat="1" ht="30" hidden="1" x14ac:dyDescent="0.25">
      <c r="A157" s="131">
        <v>1</v>
      </c>
      <c r="B157" s="136" t="s">
        <v>232</v>
      </c>
      <c r="C157" s="376" t="s">
        <v>299</v>
      </c>
      <c r="D157" s="35" t="s">
        <v>200</v>
      </c>
      <c r="E157" s="13"/>
      <c r="F157" s="2">
        <v>800</v>
      </c>
      <c r="G157" s="62"/>
      <c r="H157" s="62"/>
      <c r="I157" s="62"/>
    </row>
    <row r="158" spans="1:9" s="55" customFormat="1" hidden="1" x14ac:dyDescent="0.25">
      <c r="A158" s="131">
        <v>1</v>
      </c>
      <c r="B158" s="136" t="s">
        <v>232</v>
      </c>
      <c r="C158" s="376" t="s">
        <v>299</v>
      </c>
      <c r="D158" s="35" t="s">
        <v>119</v>
      </c>
      <c r="E158" s="13"/>
      <c r="F158" s="39">
        <v>350</v>
      </c>
      <c r="G158" s="62"/>
      <c r="H158" s="62"/>
      <c r="I158" s="62"/>
    </row>
    <row r="159" spans="1:9" s="55" customFormat="1" ht="43.5" hidden="1" x14ac:dyDescent="0.25">
      <c r="A159" s="131"/>
      <c r="B159" s="136"/>
      <c r="C159" s="376"/>
      <c r="D159" s="21" t="s">
        <v>396</v>
      </c>
      <c r="E159" s="13"/>
      <c r="F159" s="38">
        <f>F125</f>
        <v>7989</v>
      </c>
      <c r="G159" s="62"/>
      <c r="H159" s="62"/>
      <c r="I159" s="62"/>
    </row>
    <row r="160" spans="1:9" s="55" customFormat="1" hidden="1" x14ac:dyDescent="0.25">
      <c r="A160" s="131">
        <v>1</v>
      </c>
      <c r="B160" s="136" t="s">
        <v>232</v>
      </c>
      <c r="C160" s="376" t="s">
        <v>299</v>
      </c>
      <c r="D160" s="21" t="s">
        <v>195</v>
      </c>
      <c r="E160" s="13"/>
      <c r="F160" s="76">
        <f>F138+F114</f>
        <v>20582.5</v>
      </c>
      <c r="G160" s="62"/>
      <c r="H160" s="62"/>
      <c r="I160" s="62"/>
    </row>
    <row r="161" spans="1:9" s="55" customFormat="1" ht="29.25" hidden="1" x14ac:dyDescent="0.25">
      <c r="A161" s="131">
        <v>1</v>
      </c>
      <c r="B161" s="136" t="s">
        <v>232</v>
      </c>
      <c r="C161" s="376" t="s">
        <v>299</v>
      </c>
      <c r="D161" s="21" t="s">
        <v>196</v>
      </c>
      <c r="E161" s="13"/>
      <c r="F161" s="76">
        <f>F126</f>
        <v>16352</v>
      </c>
      <c r="G161" s="62"/>
      <c r="H161" s="62"/>
      <c r="I161" s="62"/>
    </row>
    <row r="162" spans="1:9" s="55" customFormat="1" hidden="1" x14ac:dyDescent="0.25">
      <c r="A162" s="131">
        <v>1</v>
      </c>
      <c r="B162" s="136" t="s">
        <v>232</v>
      </c>
      <c r="C162" s="376" t="s">
        <v>299</v>
      </c>
      <c r="D162" s="21" t="s">
        <v>197</v>
      </c>
      <c r="E162" s="13"/>
      <c r="F162" s="76">
        <f>F148+F120</f>
        <v>44137.808510638301</v>
      </c>
      <c r="G162" s="62"/>
      <c r="H162" s="62"/>
      <c r="I162" s="62"/>
    </row>
    <row r="163" spans="1:9" s="55" customFormat="1" ht="29.25" hidden="1" x14ac:dyDescent="0.25">
      <c r="A163" s="131">
        <v>1</v>
      </c>
      <c r="B163" s="136" t="s">
        <v>232</v>
      </c>
      <c r="C163" s="376" t="s">
        <v>299</v>
      </c>
      <c r="D163" s="21" t="s">
        <v>198</v>
      </c>
      <c r="E163" s="13"/>
      <c r="F163" s="29">
        <f>F152+F154</f>
        <v>11200</v>
      </c>
      <c r="G163" s="62"/>
      <c r="H163" s="62"/>
      <c r="I163" s="62"/>
    </row>
    <row r="164" spans="1:9" s="55" customFormat="1" hidden="1" x14ac:dyDescent="0.25">
      <c r="A164" s="131">
        <v>1</v>
      </c>
      <c r="B164" s="136" t="s">
        <v>232</v>
      </c>
      <c r="C164" s="376" t="s">
        <v>299</v>
      </c>
      <c r="D164" s="22" t="s">
        <v>112</v>
      </c>
      <c r="E164" s="13"/>
      <c r="F164" s="29">
        <f>F163+F160+F161+F120*2.6+F151/4.2+F159*2.6</f>
        <v>180969.16666666666</v>
      </c>
      <c r="G164" s="62"/>
      <c r="H164" s="62"/>
      <c r="I164" s="62"/>
    </row>
    <row r="165" spans="1:9" s="145" customFormat="1" hidden="1" x14ac:dyDescent="0.25">
      <c r="A165" s="131">
        <v>1</v>
      </c>
      <c r="B165" s="136" t="s">
        <v>232</v>
      </c>
      <c r="C165" s="376" t="s">
        <v>299</v>
      </c>
      <c r="D165" s="30" t="s">
        <v>7</v>
      </c>
      <c r="E165" s="622"/>
      <c r="F165" s="2"/>
      <c r="G165" s="2"/>
      <c r="H165" s="2"/>
      <c r="I165" s="2"/>
    </row>
    <row r="166" spans="1:9" s="145" customFormat="1" hidden="1" x14ac:dyDescent="0.25">
      <c r="A166" s="131">
        <v>1</v>
      </c>
      <c r="B166" s="136" t="s">
        <v>232</v>
      </c>
      <c r="C166" s="376" t="s">
        <v>299</v>
      </c>
      <c r="D166" s="40" t="s">
        <v>93</v>
      </c>
      <c r="E166" s="622"/>
      <c r="F166" s="2"/>
      <c r="G166" s="2"/>
      <c r="H166" s="2"/>
      <c r="I166" s="2"/>
    </row>
    <row r="167" spans="1:9" s="145" customFormat="1" hidden="1" x14ac:dyDescent="0.25">
      <c r="A167" s="131">
        <v>1</v>
      </c>
      <c r="B167" s="136" t="s">
        <v>232</v>
      </c>
      <c r="C167" s="376" t="s">
        <v>299</v>
      </c>
      <c r="D167" s="1" t="s">
        <v>41</v>
      </c>
      <c r="E167" s="623">
        <v>300</v>
      </c>
      <c r="F167" s="2">
        <v>170</v>
      </c>
      <c r="G167" s="624">
        <v>10.5</v>
      </c>
      <c r="H167" s="2">
        <f>ROUND(I167/E167,0)</f>
        <v>6</v>
      </c>
      <c r="I167" s="2">
        <f>ROUND(F167*G167,0)</f>
        <v>1785</v>
      </c>
    </row>
    <row r="168" spans="1:9" s="145" customFormat="1" hidden="1" x14ac:dyDescent="0.25">
      <c r="A168" s="131">
        <v>1</v>
      </c>
      <c r="B168" s="136" t="s">
        <v>232</v>
      </c>
      <c r="C168" s="376" t="s">
        <v>299</v>
      </c>
      <c r="D168" s="154" t="s">
        <v>9</v>
      </c>
      <c r="E168" s="625"/>
      <c r="F168" s="31">
        <v>170</v>
      </c>
      <c r="G168" s="626">
        <f>I168/F168</f>
        <v>10.5</v>
      </c>
      <c r="H168" s="31">
        <f>SUM(H167:H167)</f>
        <v>6</v>
      </c>
      <c r="I168" s="31">
        <f>SUM(I167:I167)</f>
        <v>1785</v>
      </c>
    </row>
    <row r="169" spans="1:9" s="145" customFormat="1" hidden="1" x14ac:dyDescent="0.25">
      <c r="A169" s="131">
        <v>1</v>
      </c>
      <c r="B169" s="136" t="s">
        <v>232</v>
      </c>
      <c r="C169" s="376" t="s">
        <v>299</v>
      </c>
      <c r="D169" s="40" t="s">
        <v>71</v>
      </c>
      <c r="E169" s="625"/>
      <c r="F169" s="477"/>
      <c r="G169" s="627"/>
      <c r="H169" s="477"/>
      <c r="I169" s="477"/>
    </row>
    <row r="170" spans="1:9" s="145" customFormat="1" hidden="1" x14ac:dyDescent="0.25">
      <c r="A170" s="131">
        <v>1</v>
      </c>
      <c r="B170" s="136" t="s">
        <v>232</v>
      </c>
      <c r="C170" s="376" t="s">
        <v>299</v>
      </c>
      <c r="D170" s="25" t="s">
        <v>25</v>
      </c>
      <c r="E170" s="336">
        <v>240</v>
      </c>
      <c r="F170" s="2"/>
      <c r="G170" s="337">
        <v>8</v>
      </c>
      <c r="H170" s="2">
        <f t="shared" ref="H170:H174" si="2">ROUND(I170/E170,0)</f>
        <v>0</v>
      </c>
      <c r="I170" s="2">
        <f t="shared" ref="I170:I174" si="3">ROUND(F170*G170,0)</f>
        <v>0</v>
      </c>
    </row>
    <row r="171" spans="1:9" s="145" customFormat="1" hidden="1" x14ac:dyDescent="0.25">
      <c r="A171" s="131">
        <v>1</v>
      </c>
      <c r="B171" s="136" t="s">
        <v>232</v>
      </c>
      <c r="C171" s="376" t="s">
        <v>299</v>
      </c>
      <c r="D171" s="25" t="s">
        <v>20</v>
      </c>
      <c r="E171" s="336">
        <v>240</v>
      </c>
      <c r="F171" s="2">
        <v>300</v>
      </c>
      <c r="G171" s="337">
        <v>8</v>
      </c>
      <c r="H171" s="2">
        <f t="shared" si="2"/>
        <v>10</v>
      </c>
      <c r="I171" s="2">
        <f t="shared" si="3"/>
        <v>2400</v>
      </c>
    </row>
    <row r="172" spans="1:9" s="145" customFormat="1" hidden="1" x14ac:dyDescent="0.25">
      <c r="A172" s="131">
        <v>1</v>
      </c>
      <c r="B172" s="136" t="s">
        <v>232</v>
      </c>
      <c r="C172" s="376" t="s">
        <v>299</v>
      </c>
      <c r="D172" s="25" t="s">
        <v>37</v>
      </c>
      <c r="E172" s="336">
        <v>240</v>
      </c>
      <c r="F172" s="2">
        <v>1210</v>
      </c>
      <c r="G172" s="337">
        <v>8</v>
      </c>
      <c r="H172" s="2">
        <f t="shared" si="2"/>
        <v>40</v>
      </c>
      <c r="I172" s="2">
        <f t="shared" si="3"/>
        <v>9680</v>
      </c>
    </row>
    <row r="173" spans="1:9" s="145" customFormat="1" hidden="1" x14ac:dyDescent="0.25">
      <c r="A173" s="131">
        <v>1</v>
      </c>
      <c r="B173" s="136" t="s">
        <v>232</v>
      </c>
      <c r="C173" s="376" t="s">
        <v>299</v>
      </c>
      <c r="D173" s="25" t="s">
        <v>79</v>
      </c>
      <c r="E173" s="336">
        <v>240</v>
      </c>
      <c r="F173" s="2">
        <v>180</v>
      </c>
      <c r="G173" s="337">
        <v>8</v>
      </c>
      <c r="H173" s="2">
        <f t="shared" si="2"/>
        <v>6</v>
      </c>
      <c r="I173" s="2">
        <f t="shared" si="3"/>
        <v>1440</v>
      </c>
    </row>
    <row r="174" spans="1:9" s="145" customFormat="1" hidden="1" x14ac:dyDescent="0.25">
      <c r="A174" s="131">
        <v>1</v>
      </c>
      <c r="B174" s="136" t="s">
        <v>232</v>
      </c>
      <c r="C174" s="376" t="s">
        <v>299</v>
      </c>
      <c r="D174" s="25" t="s">
        <v>33</v>
      </c>
      <c r="E174" s="336">
        <v>240</v>
      </c>
      <c r="F174" s="2"/>
      <c r="G174" s="337">
        <v>8</v>
      </c>
      <c r="H174" s="2">
        <f t="shared" si="2"/>
        <v>0</v>
      </c>
      <c r="I174" s="2">
        <f t="shared" si="3"/>
        <v>0</v>
      </c>
    </row>
    <row r="175" spans="1:9" s="145" customFormat="1" hidden="1" x14ac:dyDescent="0.25">
      <c r="A175" s="131">
        <v>1</v>
      </c>
      <c r="B175" s="136" t="s">
        <v>232</v>
      </c>
      <c r="C175" s="376" t="s">
        <v>299</v>
      </c>
      <c r="D175" s="154" t="s">
        <v>94</v>
      </c>
      <c r="E175" s="628"/>
      <c r="F175" s="31">
        <f>SUM(F171:F174)</f>
        <v>1690</v>
      </c>
      <c r="G175" s="392">
        <f>I175/F175</f>
        <v>8</v>
      </c>
      <c r="H175" s="31">
        <f>SUM(H170:H174)</f>
        <v>56</v>
      </c>
      <c r="I175" s="31">
        <f>SUM(I170:I174)</f>
        <v>13520</v>
      </c>
    </row>
    <row r="176" spans="1:9" hidden="1" x14ac:dyDescent="0.25">
      <c r="A176" s="131">
        <v>1</v>
      </c>
      <c r="B176" s="136" t="s">
        <v>232</v>
      </c>
      <c r="C176" s="376" t="s">
        <v>299</v>
      </c>
      <c r="D176" s="26" t="s">
        <v>88</v>
      </c>
      <c r="E176" s="336"/>
      <c r="F176" s="29">
        <f>SUM(F175,F168)</f>
        <v>1860</v>
      </c>
      <c r="G176" s="158">
        <f>I176/F176</f>
        <v>8.228494623655914</v>
      </c>
      <c r="H176" s="29">
        <f>H168+H175</f>
        <v>62</v>
      </c>
      <c r="I176" s="29">
        <f>I168+I175</f>
        <v>15305</v>
      </c>
    </row>
    <row r="177" spans="1:35" ht="31.5" hidden="1" x14ac:dyDescent="0.25">
      <c r="A177" s="131">
        <v>1</v>
      </c>
      <c r="B177" s="136" t="s">
        <v>232</v>
      </c>
      <c r="C177" s="376" t="s">
        <v>299</v>
      </c>
      <c r="D177" s="27" t="s">
        <v>104</v>
      </c>
      <c r="E177" s="336"/>
      <c r="F177" s="477">
        <v>1300</v>
      </c>
      <c r="G177" s="158"/>
      <c r="H177" s="29"/>
      <c r="I177" s="29"/>
    </row>
    <row r="178" spans="1:35" ht="31.5" hidden="1" x14ac:dyDescent="0.25">
      <c r="A178" s="131">
        <v>1</v>
      </c>
      <c r="B178" s="136" t="s">
        <v>232</v>
      </c>
      <c r="C178" s="376" t="s">
        <v>299</v>
      </c>
      <c r="D178" s="27" t="s">
        <v>103</v>
      </c>
      <c r="E178" s="336"/>
      <c r="F178" s="629">
        <v>4030</v>
      </c>
      <c r="G178" s="629"/>
      <c r="H178" s="630"/>
      <c r="I178" s="629"/>
    </row>
    <row r="179" spans="1:35" ht="15.75" hidden="1" x14ac:dyDescent="0.25">
      <c r="B179" s="136" t="s">
        <v>232</v>
      </c>
      <c r="C179" s="376" t="s">
        <v>299</v>
      </c>
      <c r="D179" s="631" t="s">
        <v>166</v>
      </c>
      <c r="E179" s="399"/>
      <c r="F179" s="598">
        <f>SUM(F177:F178)</f>
        <v>5330</v>
      </c>
      <c r="G179" s="165"/>
      <c r="H179" s="541"/>
      <c r="I179" s="289"/>
    </row>
    <row r="180" spans="1:35" s="397" customFormat="1" hidden="1" x14ac:dyDescent="0.25">
      <c r="A180" s="131">
        <v>1</v>
      </c>
      <c r="B180" s="136" t="s">
        <v>232</v>
      </c>
      <c r="C180" s="376" t="s">
        <v>299</v>
      </c>
      <c r="D180" s="400" t="s">
        <v>213</v>
      </c>
      <c r="E180" s="401"/>
      <c r="F180" s="401"/>
      <c r="G180" s="401"/>
      <c r="H180" s="401"/>
      <c r="I180" s="401"/>
      <c r="J180" s="396"/>
      <c r="K180" s="396"/>
      <c r="L180" s="396"/>
      <c r="M180" s="396"/>
      <c r="N180" s="396"/>
      <c r="O180" s="396"/>
      <c r="P180" s="396"/>
      <c r="Q180" s="396"/>
      <c r="R180" s="396"/>
      <c r="S180" s="396"/>
      <c r="T180" s="396"/>
      <c r="U180" s="396"/>
      <c r="V180" s="396"/>
      <c r="W180" s="396"/>
      <c r="X180" s="396"/>
      <c r="Y180" s="396"/>
      <c r="Z180" s="396"/>
      <c r="AA180" s="396"/>
      <c r="AB180" s="396"/>
      <c r="AC180" s="396"/>
      <c r="AD180" s="396"/>
      <c r="AE180" s="396"/>
      <c r="AF180" s="396"/>
      <c r="AG180" s="396"/>
      <c r="AH180" s="396"/>
      <c r="AI180" s="396"/>
    </row>
    <row r="181" spans="1:35" hidden="1" x14ac:dyDescent="0.25">
      <c r="A181" s="131">
        <v>1</v>
      </c>
      <c r="C181" s="376" t="s">
        <v>299</v>
      </c>
      <c r="D181" s="632"/>
      <c r="E181" s="633"/>
      <c r="F181" s="2"/>
      <c r="G181" s="2"/>
      <c r="H181" s="2"/>
      <c r="I181" s="2"/>
    </row>
    <row r="182" spans="1:35" ht="31.5" hidden="1" x14ac:dyDescent="0.25">
      <c r="A182" s="131">
        <v>1</v>
      </c>
      <c r="B182" s="136" t="s">
        <v>233</v>
      </c>
      <c r="C182" s="376" t="s">
        <v>299</v>
      </c>
      <c r="D182" s="763" t="s">
        <v>315</v>
      </c>
      <c r="E182" s="398"/>
      <c r="F182" s="2"/>
      <c r="G182" s="2"/>
      <c r="H182" s="2"/>
      <c r="I182" s="2"/>
    </row>
    <row r="183" spans="1:35" hidden="1" x14ac:dyDescent="0.25">
      <c r="A183" s="131">
        <v>1</v>
      </c>
      <c r="B183" s="136" t="s">
        <v>233</v>
      </c>
      <c r="C183" s="376" t="s">
        <v>299</v>
      </c>
      <c r="D183" s="137" t="s">
        <v>4</v>
      </c>
      <c r="E183" s="398"/>
      <c r="F183" s="2"/>
      <c r="G183" s="2"/>
      <c r="H183" s="2"/>
      <c r="I183" s="2"/>
    </row>
    <row r="184" spans="1:35" hidden="1" x14ac:dyDescent="0.25">
      <c r="A184" s="131">
        <v>1</v>
      </c>
      <c r="B184" s="136" t="s">
        <v>233</v>
      </c>
      <c r="C184" s="376" t="s">
        <v>299</v>
      </c>
      <c r="D184" s="141" t="s">
        <v>25</v>
      </c>
      <c r="E184" s="336">
        <v>340</v>
      </c>
      <c r="F184" s="2">
        <v>0</v>
      </c>
      <c r="G184" s="337">
        <v>14</v>
      </c>
      <c r="H184" s="2">
        <f>ROUND(I184/E184,0)</f>
        <v>0</v>
      </c>
      <c r="I184" s="2">
        <f>ROUND(F184*G184,0)</f>
        <v>0</v>
      </c>
    </row>
    <row r="185" spans="1:35" hidden="1" x14ac:dyDescent="0.25">
      <c r="A185" s="131">
        <v>1</v>
      </c>
      <c r="B185" s="136" t="s">
        <v>233</v>
      </c>
      <c r="C185" s="376" t="s">
        <v>299</v>
      </c>
      <c r="D185" s="141" t="s">
        <v>8</v>
      </c>
      <c r="E185" s="336">
        <v>340</v>
      </c>
      <c r="F185" s="2">
        <f>1914-27</f>
        <v>1887</v>
      </c>
      <c r="G185" s="337">
        <v>7.5</v>
      </c>
      <c r="H185" s="2">
        <f>ROUND(I185/E185,0)</f>
        <v>42</v>
      </c>
      <c r="I185" s="2">
        <f>ROUND(F185*G185,0)</f>
        <v>14153</v>
      </c>
    </row>
    <row r="186" spans="1:35" hidden="1" x14ac:dyDescent="0.25">
      <c r="A186" s="131">
        <v>1</v>
      </c>
      <c r="B186" s="136" t="s">
        <v>233</v>
      </c>
      <c r="C186" s="376" t="s">
        <v>299</v>
      </c>
      <c r="D186" s="141" t="s">
        <v>76</v>
      </c>
      <c r="E186" s="336">
        <v>340</v>
      </c>
      <c r="F186" s="2">
        <v>1300</v>
      </c>
      <c r="G186" s="337">
        <v>9.6999999999999993</v>
      </c>
      <c r="H186" s="2">
        <f>ROUND(I186/E186,0)</f>
        <v>37</v>
      </c>
      <c r="I186" s="2">
        <f>ROUND(F186*G186,0)</f>
        <v>12610</v>
      </c>
    </row>
    <row r="187" spans="1:35" hidden="1" x14ac:dyDescent="0.25">
      <c r="B187" s="136"/>
      <c r="C187" s="376" t="s">
        <v>299</v>
      </c>
      <c r="D187" s="141" t="s">
        <v>42</v>
      </c>
      <c r="E187" s="336">
        <v>340</v>
      </c>
      <c r="F187" s="2">
        <v>442</v>
      </c>
      <c r="G187" s="337">
        <v>9.6999999999999993</v>
      </c>
      <c r="H187" s="2">
        <f>ROUND(I187/E187,0)</f>
        <v>13</v>
      </c>
      <c r="I187" s="2">
        <f>ROUND(F187*G187,0)</f>
        <v>4287</v>
      </c>
    </row>
    <row r="188" spans="1:35" hidden="1" x14ac:dyDescent="0.25">
      <c r="A188" s="131">
        <v>1</v>
      </c>
      <c r="B188" s="136" t="s">
        <v>233</v>
      </c>
      <c r="C188" s="376" t="s">
        <v>299</v>
      </c>
      <c r="D188" s="141" t="s">
        <v>35</v>
      </c>
      <c r="E188" s="336">
        <v>340</v>
      </c>
      <c r="F188" s="2">
        <f>1604-4</f>
        <v>1600</v>
      </c>
      <c r="G188" s="337">
        <v>11</v>
      </c>
      <c r="H188" s="2">
        <f>ROUND(I188/E188,0)</f>
        <v>52</v>
      </c>
      <c r="I188" s="2">
        <f>ROUND(F188*G188,0)</f>
        <v>17600</v>
      </c>
    </row>
    <row r="189" spans="1:35" s="145" customFormat="1" hidden="1" x14ac:dyDescent="0.25">
      <c r="A189" s="131">
        <v>1</v>
      </c>
      <c r="B189" s="136" t="s">
        <v>233</v>
      </c>
      <c r="C189" s="376" t="s">
        <v>299</v>
      </c>
      <c r="D189" s="390" t="s">
        <v>5</v>
      </c>
      <c r="E189" s="199"/>
      <c r="F189" s="29">
        <f>SUM(F184:F188)</f>
        <v>5229</v>
      </c>
      <c r="G189" s="158">
        <f>I189/F189</f>
        <v>9.3038821954484607</v>
      </c>
      <c r="H189" s="29">
        <f t="shared" ref="H189:I189" si="4">SUM(H184:H188)</f>
        <v>144</v>
      </c>
      <c r="I189" s="29">
        <f t="shared" si="4"/>
        <v>48650</v>
      </c>
    </row>
    <row r="190" spans="1:35" s="55" customFormat="1" ht="45.75" hidden="1" customHeight="1" x14ac:dyDescent="0.25">
      <c r="A190" s="131">
        <v>1</v>
      </c>
      <c r="B190" s="136" t="s">
        <v>233</v>
      </c>
      <c r="C190" s="376" t="s">
        <v>299</v>
      </c>
      <c r="D190" s="128" t="s">
        <v>250</v>
      </c>
      <c r="E190" s="12"/>
      <c r="F190" s="2"/>
      <c r="G190" s="54"/>
      <c r="H190" s="54"/>
      <c r="I190" s="54"/>
    </row>
    <row r="191" spans="1:35" s="55" customFormat="1" hidden="1" x14ac:dyDescent="0.25">
      <c r="A191" s="131"/>
      <c r="B191" s="136" t="s">
        <v>233</v>
      </c>
      <c r="C191" s="376" t="s">
        <v>299</v>
      </c>
      <c r="D191" s="14" t="s">
        <v>192</v>
      </c>
      <c r="E191" s="634"/>
      <c r="F191" s="29">
        <f>F193+F194+F195+F196</f>
        <v>35890</v>
      </c>
      <c r="G191" s="54"/>
      <c r="H191" s="54"/>
      <c r="I191" s="54"/>
    </row>
    <row r="192" spans="1:35" s="55" customFormat="1" hidden="1" x14ac:dyDescent="0.25">
      <c r="A192" s="131"/>
      <c r="B192" s="136" t="s">
        <v>233</v>
      </c>
      <c r="C192" s="376" t="s">
        <v>299</v>
      </c>
      <c r="D192" s="18" t="s">
        <v>116</v>
      </c>
      <c r="E192" s="12"/>
      <c r="F192" s="2"/>
      <c r="G192" s="54"/>
      <c r="H192" s="54"/>
      <c r="I192" s="54"/>
    </row>
    <row r="193" spans="1:9" s="55" customFormat="1" ht="30" hidden="1" x14ac:dyDescent="0.25">
      <c r="A193" s="131"/>
      <c r="B193" s="136" t="s">
        <v>233</v>
      </c>
      <c r="C193" s="376" t="s">
        <v>299</v>
      </c>
      <c r="D193" s="16" t="s">
        <v>397</v>
      </c>
      <c r="E193" s="634"/>
      <c r="F193" s="29">
        <v>15100</v>
      </c>
      <c r="G193" s="54"/>
      <c r="H193" s="54"/>
      <c r="I193" s="54"/>
    </row>
    <row r="194" spans="1:9" s="55" customFormat="1" ht="45" hidden="1" x14ac:dyDescent="0.25">
      <c r="A194" s="131"/>
      <c r="B194" s="136" t="s">
        <v>233</v>
      </c>
      <c r="C194" s="376" t="s">
        <v>299</v>
      </c>
      <c r="D194" s="15" t="s">
        <v>398</v>
      </c>
      <c r="E194" s="12"/>
      <c r="F194" s="2">
        <v>9190</v>
      </c>
      <c r="G194" s="54"/>
      <c r="H194" s="54"/>
      <c r="I194" s="54"/>
    </row>
    <row r="195" spans="1:9" s="55" customFormat="1" ht="45" hidden="1" x14ac:dyDescent="0.25">
      <c r="A195" s="131"/>
      <c r="B195" s="136" t="s">
        <v>233</v>
      </c>
      <c r="C195" s="376" t="s">
        <v>299</v>
      </c>
      <c r="D195" s="15" t="s">
        <v>399</v>
      </c>
      <c r="E195" s="12"/>
      <c r="F195" s="2">
        <v>4600</v>
      </c>
      <c r="G195" s="54"/>
      <c r="H195" s="54"/>
      <c r="I195" s="54"/>
    </row>
    <row r="196" spans="1:9" s="55" customFormat="1" ht="75" hidden="1" x14ac:dyDescent="0.25">
      <c r="A196" s="131"/>
      <c r="B196" s="136"/>
      <c r="C196" s="376" t="s">
        <v>299</v>
      </c>
      <c r="D196" s="15" t="s">
        <v>400</v>
      </c>
      <c r="E196" s="12"/>
      <c r="F196" s="2">
        <v>7000</v>
      </c>
      <c r="G196" s="54"/>
      <c r="H196" s="54"/>
      <c r="I196" s="54"/>
    </row>
    <row r="197" spans="1:9" s="55" customFormat="1" hidden="1" x14ac:dyDescent="0.25">
      <c r="A197" s="131"/>
      <c r="B197" s="136" t="s">
        <v>233</v>
      </c>
      <c r="C197" s="376" t="s">
        <v>299</v>
      </c>
      <c r="D197" s="57" t="s">
        <v>90</v>
      </c>
      <c r="E197" s="12"/>
      <c r="F197" s="2">
        <f>F198+F199+F200</f>
        <v>25000</v>
      </c>
      <c r="G197" s="54"/>
      <c r="H197" s="54"/>
      <c r="I197" s="54"/>
    </row>
    <row r="198" spans="1:9" s="55" customFormat="1" hidden="1" x14ac:dyDescent="0.25">
      <c r="A198" s="131"/>
      <c r="B198" s="136" t="s">
        <v>233</v>
      </c>
      <c r="C198" s="376" t="s">
        <v>299</v>
      </c>
      <c r="D198" s="15" t="s">
        <v>145</v>
      </c>
      <c r="E198" s="12"/>
      <c r="F198" s="2">
        <v>23817</v>
      </c>
      <c r="G198" s="54"/>
      <c r="H198" s="54"/>
      <c r="I198" s="54"/>
    </row>
    <row r="199" spans="1:9" s="55" customFormat="1" ht="45.75" hidden="1" customHeight="1" x14ac:dyDescent="0.25">
      <c r="A199" s="131"/>
      <c r="B199" s="136"/>
      <c r="C199" s="376"/>
      <c r="D199" s="15" t="s">
        <v>414</v>
      </c>
      <c r="E199" s="12"/>
      <c r="F199" s="2"/>
      <c r="G199" s="54"/>
      <c r="H199" s="54"/>
      <c r="I199" s="54"/>
    </row>
    <row r="200" spans="1:9" s="55" customFormat="1" ht="45.75" hidden="1" customHeight="1" x14ac:dyDescent="0.25">
      <c r="A200" s="131"/>
      <c r="B200" s="136"/>
      <c r="C200" s="376"/>
      <c r="D200" s="15" t="s">
        <v>421</v>
      </c>
      <c r="E200" s="12"/>
      <c r="F200" s="2">
        <v>1183</v>
      </c>
      <c r="G200" s="54"/>
      <c r="H200" s="54"/>
      <c r="I200" s="54"/>
    </row>
    <row r="201" spans="1:9" s="55" customFormat="1" hidden="1" x14ac:dyDescent="0.25">
      <c r="A201" s="131"/>
      <c r="B201" s="136"/>
      <c r="C201" s="376"/>
      <c r="D201" s="33" t="s">
        <v>98</v>
      </c>
      <c r="E201" s="12"/>
      <c r="F201" s="2"/>
      <c r="G201" s="54"/>
      <c r="H201" s="54"/>
      <c r="I201" s="54"/>
    </row>
    <row r="202" spans="1:9" s="55" customFormat="1" ht="75" hidden="1" x14ac:dyDescent="0.25">
      <c r="A202" s="131"/>
      <c r="B202" s="136"/>
      <c r="C202" s="376"/>
      <c r="D202" s="15" t="s">
        <v>420</v>
      </c>
      <c r="E202" s="12"/>
      <c r="F202" s="2">
        <v>5915</v>
      </c>
      <c r="G202" s="54"/>
      <c r="H202" s="54"/>
      <c r="I202" s="54"/>
    </row>
    <row r="203" spans="1:9" s="55" customFormat="1" ht="47.25" hidden="1" x14ac:dyDescent="0.25">
      <c r="A203" s="131">
        <v>1</v>
      </c>
      <c r="B203" s="136" t="s">
        <v>233</v>
      </c>
      <c r="C203" s="376" t="s">
        <v>299</v>
      </c>
      <c r="D203" s="58" t="s">
        <v>333</v>
      </c>
      <c r="E203" s="59"/>
      <c r="F203" s="29">
        <f>F204+F211</f>
        <v>14679</v>
      </c>
      <c r="G203" s="54"/>
      <c r="H203" s="54"/>
      <c r="I203" s="54"/>
    </row>
    <row r="204" spans="1:9" s="55" customFormat="1" ht="30" hidden="1" x14ac:dyDescent="0.25">
      <c r="A204" s="131">
        <v>1</v>
      </c>
      <c r="B204" s="136" t="s">
        <v>233</v>
      </c>
      <c r="C204" s="376" t="s">
        <v>299</v>
      </c>
      <c r="D204" s="16" t="s">
        <v>193</v>
      </c>
      <c r="E204" s="59"/>
      <c r="F204" s="29">
        <f>SUM(F205:F210)-F208</f>
        <v>11976</v>
      </c>
      <c r="G204" s="54"/>
      <c r="H204" s="54"/>
      <c r="I204" s="54"/>
    </row>
    <row r="205" spans="1:9" s="55" customFormat="1" ht="30" hidden="1" x14ac:dyDescent="0.25">
      <c r="A205" s="131">
        <v>1</v>
      </c>
      <c r="B205" s="136" t="s">
        <v>233</v>
      </c>
      <c r="C205" s="376" t="s">
        <v>299</v>
      </c>
      <c r="D205" s="15" t="s">
        <v>334</v>
      </c>
      <c r="E205" s="59"/>
      <c r="F205" s="2">
        <v>10279</v>
      </c>
      <c r="G205" s="54"/>
      <c r="H205" s="54"/>
      <c r="I205" s="54"/>
    </row>
    <row r="206" spans="1:9" s="55" customFormat="1" ht="45" hidden="1" x14ac:dyDescent="0.25">
      <c r="A206" s="131">
        <v>1</v>
      </c>
      <c r="B206" s="136" t="s">
        <v>233</v>
      </c>
      <c r="C206" s="376" t="s">
        <v>299</v>
      </c>
      <c r="D206" s="15" t="s">
        <v>402</v>
      </c>
      <c r="E206" s="59"/>
      <c r="F206" s="10"/>
      <c r="G206" s="54"/>
      <c r="H206" s="54"/>
      <c r="I206" s="54"/>
    </row>
    <row r="207" spans="1:9" s="55" customFormat="1" ht="30" hidden="1" x14ac:dyDescent="0.25">
      <c r="A207" s="131"/>
      <c r="B207" s="136"/>
      <c r="C207" s="376"/>
      <c r="D207" s="15" t="s">
        <v>380</v>
      </c>
      <c r="E207" s="59"/>
      <c r="F207" s="10">
        <v>1697</v>
      </c>
      <c r="G207" s="71"/>
      <c r="H207" s="71"/>
      <c r="I207" s="71"/>
    </row>
    <row r="208" spans="1:9" s="55" customFormat="1" ht="30" hidden="1" x14ac:dyDescent="0.25">
      <c r="A208" s="131"/>
      <c r="B208" s="136"/>
      <c r="C208" s="376"/>
      <c r="D208" s="15" t="s">
        <v>381</v>
      </c>
      <c r="E208" s="59"/>
      <c r="F208" s="10"/>
      <c r="G208" s="71"/>
      <c r="H208" s="71"/>
      <c r="I208" s="71"/>
    </row>
    <row r="209" spans="1:9" s="145" customFormat="1" ht="30" hidden="1" x14ac:dyDescent="0.25">
      <c r="A209" s="131">
        <v>1</v>
      </c>
      <c r="B209" s="136" t="s">
        <v>233</v>
      </c>
      <c r="C209" s="376" t="s">
        <v>299</v>
      </c>
      <c r="D209" s="15" t="s">
        <v>382</v>
      </c>
      <c r="E209" s="13"/>
      <c r="F209" s="2"/>
      <c r="G209" s="2"/>
      <c r="H209" s="2"/>
      <c r="I209" s="2"/>
    </row>
    <row r="210" spans="1:9" s="55" customFormat="1" ht="30" hidden="1" x14ac:dyDescent="0.25">
      <c r="A210" s="131">
        <v>1</v>
      </c>
      <c r="B210" s="136" t="s">
        <v>233</v>
      </c>
      <c r="C210" s="376" t="s">
        <v>299</v>
      </c>
      <c r="D210" s="15" t="s">
        <v>383</v>
      </c>
      <c r="E210" s="277"/>
      <c r="F210" s="2"/>
      <c r="G210" s="54"/>
      <c r="H210" s="54"/>
      <c r="I210" s="54"/>
    </row>
    <row r="211" spans="1:9" s="55" customFormat="1" ht="30" hidden="1" x14ac:dyDescent="0.25">
      <c r="A211" s="131">
        <v>1</v>
      </c>
      <c r="B211" s="136" t="s">
        <v>233</v>
      </c>
      <c r="C211" s="376" t="s">
        <v>299</v>
      </c>
      <c r="D211" s="16" t="s">
        <v>194</v>
      </c>
      <c r="E211" s="61"/>
      <c r="F211" s="59">
        <f>SUM(F212:F214)</f>
        <v>2703</v>
      </c>
      <c r="G211" s="62"/>
      <c r="H211" s="62"/>
      <c r="I211" s="62"/>
    </row>
    <row r="212" spans="1:9" s="55" customFormat="1" ht="30" hidden="1" x14ac:dyDescent="0.25">
      <c r="A212" s="131">
        <v>1</v>
      </c>
      <c r="B212" s="136" t="s">
        <v>233</v>
      </c>
      <c r="C212" s="376" t="s">
        <v>299</v>
      </c>
      <c r="D212" s="15" t="s">
        <v>384</v>
      </c>
      <c r="E212" s="13"/>
      <c r="F212" s="2">
        <v>2703</v>
      </c>
      <c r="G212" s="62"/>
      <c r="H212" s="62"/>
      <c r="I212" s="62"/>
    </row>
    <row r="213" spans="1:9" s="55" customFormat="1" ht="45" hidden="1" x14ac:dyDescent="0.25">
      <c r="A213" s="131">
        <v>1</v>
      </c>
      <c r="B213" s="136" t="s">
        <v>233</v>
      </c>
      <c r="C213" s="376" t="s">
        <v>299</v>
      </c>
      <c r="D213" s="15" t="s">
        <v>385</v>
      </c>
      <c r="E213" s="13"/>
      <c r="F213" s="2"/>
      <c r="G213" s="62"/>
      <c r="H213" s="62"/>
      <c r="I213" s="62"/>
    </row>
    <row r="214" spans="1:9" s="55" customFormat="1" ht="45" hidden="1" x14ac:dyDescent="0.25">
      <c r="A214" s="131">
        <v>1</v>
      </c>
      <c r="B214" s="136" t="s">
        <v>233</v>
      </c>
      <c r="C214" s="376" t="s">
        <v>299</v>
      </c>
      <c r="D214" s="15" t="s">
        <v>386</v>
      </c>
      <c r="E214" s="13"/>
      <c r="F214" s="2"/>
      <c r="G214" s="62"/>
      <c r="H214" s="62"/>
      <c r="I214" s="62"/>
    </row>
    <row r="215" spans="1:9" s="55" customFormat="1" hidden="1" x14ac:dyDescent="0.25">
      <c r="A215" s="131">
        <v>1</v>
      </c>
      <c r="B215" s="136" t="s">
        <v>233</v>
      </c>
      <c r="C215" s="376" t="s">
        <v>299</v>
      </c>
      <c r="D215" s="14" t="s">
        <v>251</v>
      </c>
      <c r="E215" s="13"/>
      <c r="F215" s="29">
        <f>SUM(F216,F217,F221,F222,F223,F224)</f>
        <v>4384</v>
      </c>
      <c r="G215" s="62"/>
      <c r="H215" s="62"/>
      <c r="I215" s="62"/>
    </row>
    <row r="216" spans="1:9" s="55" customFormat="1" hidden="1" x14ac:dyDescent="0.25">
      <c r="A216" s="131">
        <v>1</v>
      </c>
      <c r="B216" s="136" t="s">
        <v>233</v>
      </c>
      <c r="C216" s="376" t="s">
        <v>299</v>
      </c>
      <c r="D216" s="15" t="s">
        <v>252</v>
      </c>
      <c r="E216" s="13"/>
      <c r="F216" s="54"/>
      <c r="G216" s="62"/>
      <c r="H216" s="62"/>
      <c r="I216" s="62"/>
    </row>
    <row r="217" spans="1:9" s="55" customFormat="1" ht="30" hidden="1" x14ac:dyDescent="0.25">
      <c r="A217" s="131">
        <v>1</v>
      </c>
      <c r="B217" s="136" t="s">
        <v>233</v>
      </c>
      <c r="C217" s="376" t="s">
        <v>299</v>
      </c>
      <c r="D217" s="16" t="s">
        <v>388</v>
      </c>
      <c r="E217" s="13"/>
      <c r="F217" s="54"/>
      <c r="G217" s="62"/>
      <c r="H217" s="62"/>
      <c r="I217" s="62"/>
    </row>
    <row r="218" spans="1:9" s="145" customFormat="1" hidden="1" x14ac:dyDescent="0.25">
      <c r="A218" s="131"/>
      <c r="B218" s="136" t="s">
        <v>233</v>
      </c>
      <c r="C218" s="376" t="s">
        <v>299</v>
      </c>
      <c r="D218" s="15" t="s">
        <v>389</v>
      </c>
      <c r="E218" s="13"/>
      <c r="F218" s="13"/>
      <c r="G218" s="10"/>
      <c r="H218" s="10"/>
      <c r="I218" s="10"/>
    </row>
    <row r="219" spans="1:9" s="55" customFormat="1" ht="30" hidden="1" x14ac:dyDescent="0.25">
      <c r="A219" s="131">
        <v>1</v>
      </c>
      <c r="B219" s="136" t="s">
        <v>233</v>
      </c>
      <c r="C219" s="376" t="s">
        <v>299</v>
      </c>
      <c r="D219" s="15" t="s">
        <v>390</v>
      </c>
      <c r="E219" s="13"/>
      <c r="F219" s="54"/>
      <c r="G219" s="62"/>
      <c r="H219" s="62"/>
      <c r="I219" s="62"/>
    </row>
    <row r="220" spans="1:9" s="55" customFormat="1" ht="45" hidden="1" x14ac:dyDescent="0.25">
      <c r="A220" s="131">
        <v>1</v>
      </c>
      <c r="B220" s="136" t="s">
        <v>233</v>
      </c>
      <c r="C220" s="376" t="s">
        <v>299</v>
      </c>
      <c r="D220" s="15" t="s">
        <v>391</v>
      </c>
      <c r="E220" s="13"/>
      <c r="F220" s="54"/>
      <c r="G220" s="62"/>
      <c r="H220" s="62"/>
      <c r="I220" s="62"/>
    </row>
    <row r="221" spans="1:9" s="55" customFormat="1" ht="45" hidden="1" x14ac:dyDescent="0.25">
      <c r="A221" s="131">
        <v>1</v>
      </c>
      <c r="B221" s="136" t="s">
        <v>233</v>
      </c>
      <c r="C221" s="376" t="s">
        <v>299</v>
      </c>
      <c r="D221" s="15" t="s">
        <v>392</v>
      </c>
      <c r="E221" s="13"/>
      <c r="F221" s="2"/>
      <c r="G221" s="62"/>
      <c r="H221" s="62"/>
      <c r="I221" s="62"/>
    </row>
    <row r="222" spans="1:9" s="55" customFormat="1" ht="45" hidden="1" x14ac:dyDescent="0.25">
      <c r="A222" s="131">
        <v>1</v>
      </c>
      <c r="B222" s="136" t="s">
        <v>233</v>
      </c>
      <c r="C222" s="376" t="s">
        <v>299</v>
      </c>
      <c r="D222" s="18" t="s">
        <v>393</v>
      </c>
      <c r="E222" s="13"/>
      <c r="F222" s="2"/>
      <c r="G222" s="62"/>
      <c r="H222" s="62"/>
      <c r="I222" s="62"/>
    </row>
    <row r="223" spans="1:9" s="55" customFormat="1" ht="75" hidden="1" x14ac:dyDescent="0.25">
      <c r="A223" s="51"/>
      <c r="B223" s="136"/>
      <c r="C223" s="376" t="s">
        <v>299</v>
      </c>
      <c r="D223" s="18" t="s">
        <v>394</v>
      </c>
      <c r="E223" s="13"/>
      <c r="F223" s="53">
        <v>1300</v>
      </c>
      <c r="G223" s="62"/>
      <c r="H223" s="62"/>
      <c r="I223" s="43"/>
    </row>
    <row r="224" spans="1:9" s="55" customFormat="1" ht="30" hidden="1" x14ac:dyDescent="0.25">
      <c r="A224" s="51"/>
      <c r="B224" s="136"/>
      <c r="C224" s="376"/>
      <c r="D224" s="18" t="s">
        <v>395</v>
      </c>
      <c r="E224" s="13"/>
      <c r="F224" s="53">
        <v>3084</v>
      </c>
      <c r="G224" s="62"/>
      <c r="H224" s="62"/>
      <c r="I224" s="43"/>
    </row>
    <row r="225" spans="1:9" s="55" customFormat="1" hidden="1" x14ac:dyDescent="0.25">
      <c r="A225" s="131">
        <v>1</v>
      </c>
      <c r="B225" s="136" t="s">
        <v>233</v>
      </c>
      <c r="C225" s="376" t="s">
        <v>299</v>
      </c>
      <c r="D225" s="14" t="s">
        <v>253</v>
      </c>
      <c r="E225" s="13"/>
      <c r="F225" s="39"/>
      <c r="G225" s="62"/>
      <c r="H225" s="62"/>
      <c r="I225" s="62"/>
    </row>
    <row r="226" spans="1:9" s="55" customFormat="1" hidden="1" x14ac:dyDescent="0.25">
      <c r="A226" s="131">
        <v>1</v>
      </c>
      <c r="B226" s="136" t="s">
        <v>233</v>
      </c>
      <c r="C226" s="376" t="s">
        <v>299</v>
      </c>
      <c r="D226" s="14" t="s">
        <v>254</v>
      </c>
      <c r="E226" s="13"/>
      <c r="F226" s="39"/>
      <c r="G226" s="62"/>
      <c r="H226" s="62"/>
      <c r="I226" s="62"/>
    </row>
    <row r="227" spans="1:9" s="55" customFormat="1" hidden="1" x14ac:dyDescent="0.25">
      <c r="A227" s="131">
        <v>1</v>
      </c>
      <c r="B227" s="136" t="s">
        <v>233</v>
      </c>
      <c r="C227" s="376" t="s">
        <v>299</v>
      </c>
      <c r="D227" s="15" t="s">
        <v>255</v>
      </c>
      <c r="E227" s="13"/>
      <c r="F227" s="39"/>
      <c r="G227" s="62"/>
      <c r="H227" s="62"/>
      <c r="I227" s="62"/>
    </row>
    <row r="228" spans="1:9" s="55" customFormat="1" hidden="1" x14ac:dyDescent="0.25">
      <c r="A228" s="131">
        <v>1</v>
      </c>
      <c r="B228" s="136" t="s">
        <v>233</v>
      </c>
      <c r="C228" s="376" t="s">
        <v>299</v>
      </c>
      <c r="D228" s="42" t="s">
        <v>261</v>
      </c>
      <c r="E228" s="13"/>
      <c r="F228" s="39"/>
      <c r="G228" s="62"/>
      <c r="H228" s="62"/>
      <c r="I228" s="62"/>
    </row>
    <row r="229" spans="1:9" s="55" customFormat="1" ht="29.25" hidden="1" x14ac:dyDescent="0.25">
      <c r="A229" s="131">
        <v>1</v>
      </c>
      <c r="B229" s="136" t="s">
        <v>233</v>
      </c>
      <c r="C229" s="376" t="s">
        <v>299</v>
      </c>
      <c r="D229" s="14" t="s">
        <v>256</v>
      </c>
      <c r="E229" s="13"/>
      <c r="F229" s="2">
        <v>3500</v>
      </c>
      <c r="G229" s="62"/>
      <c r="H229" s="62"/>
      <c r="I229" s="62"/>
    </row>
    <row r="230" spans="1:9" s="55" customFormat="1" hidden="1" x14ac:dyDescent="0.25">
      <c r="A230" s="131">
        <v>1</v>
      </c>
      <c r="B230" s="136" t="s">
        <v>233</v>
      </c>
      <c r="C230" s="376" t="s">
        <v>299</v>
      </c>
      <c r="D230" s="19" t="s">
        <v>117</v>
      </c>
      <c r="E230" s="13"/>
      <c r="F230" s="2"/>
      <c r="G230" s="62"/>
      <c r="H230" s="62"/>
      <c r="I230" s="62"/>
    </row>
    <row r="231" spans="1:9" s="55" customFormat="1" ht="57.75" hidden="1" x14ac:dyDescent="0.25">
      <c r="A231" s="131">
        <v>1</v>
      </c>
      <c r="B231" s="136" t="s">
        <v>233</v>
      </c>
      <c r="C231" s="376" t="s">
        <v>299</v>
      </c>
      <c r="D231" s="14" t="s">
        <v>257</v>
      </c>
      <c r="E231" s="13"/>
      <c r="F231" s="2">
        <v>5003</v>
      </c>
      <c r="G231" s="62"/>
      <c r="H231" s="62"/>
      <c r="I231" s="62"/>
    </row>
    <row r="232" spans="1:9" s="55" customFormat="1" hidden="1" x14ac:dyDescent="0.25">
      <c r="A232" s="131">
        <v>1</v>
      </c>
      <c r="B232" s="136" t="s">
        <v>233</v>
      </c>
      <c r="C232" s="376" t="s">
        <v>299</v>
      </c>
      <c r="D232" s="20" t="s">
        <v>165</v>
      </c>
      <c r="E232" s="59"/>
      <c r="F232" s="59">
        <f>SUM(F233:F237)</f>
        <v>1788</v>
      </c>
      <c r="G232" s="62"/>
      <c r="H232" s="62"/>
      <c r="I232" s="62"/>
    </row>
    <row r="233" spans="1:9" s="55" customFormat="1" ht="75" hidden="1" x14ac:dyDescent="0.25">
      <c r="A233" s="131">
        <v>1</v>
      </c>
      <c r="B233" s="136" t="s">
        <v>233</v>
      </c>
      <c r="C233" s="376" t="s">
        <v>299</v>
      </c>
      <c r="D233" s="35" t="s">
        <v>267</v>
      </c>
      <c r="E233" s="13"/>
      <c r="F233" s="2">
        <v>550</v>
      </c>
      <c r="G233" s="62"/>
      <c r="H233" s="62"/>
      <c r="I233" s="62"/>
    </row>
    <row r="234" spans="1:9" s="55" customFormat="1" hidden="1" x14ac:dyDescent="0.25">
      <c r="A234" s="131"/>
      <c r="B234" s="136"/>
      <c r="C234" s="376"/>
      <c r="D234" s="35"/>
      <c r="E234" s="41"/>
      <c r="F234" s="2"/>
      <c r="G234" s="373"/>
      <c r="H234" s="373"/>
      <c r="I234" s="373"/>
    </row>
    <row r="235" spans="1:9" s="145" customFormat="1" ht="30" hidden="1" x14ac:dyDescent="0.25">
      <c r="A235" s="131">
        <v>1</v>
      </c>
      <c r="B235" s="136" t="s">
        <v>233</v>
      </c>
      <c r="C235" s="376" t="s">
        <v>299</v>
      </c>
      <c r="D235" s="35" t="s">
        <v>200</v>
      </c>
      <c r="E235" s="41"/>
      <c r="F235" s="2">
        <v>600</v>
      </c>
      <c r="G235" s="2"/>
      <c r="H235" s="2"/>
      <c r="I235" s="2"/>
    </row>
    <row r="236" spans="1:9" s="55" customFormat="1" ht="30" hidden="1" x14ac:dyDescent="0.25">
      <c r="A236" s="131">
        <v>1</v>
      </c>
      <c r="B236" s="136" t="s">
        <v>233</v>
      </c>
      <c r="C236" s="376" t="s">
        <v>299</v>
      </c>
      <c r="D236" s="35" t="s">
        <v>199</v>
      </c>
      <c r="E236" s="59"/>
      <c r="F236" s="71">
        <v>238</v>
      </c>
      <c r="G236" s="62"/>
      <c r="H236" s="62"/>
      <c r="I236" s="62"/>
    </row>
    <row r="237" spans="1:9" s="55" customFormat="1" hidden="1" x14ac:dyDescent="0.25">
      <c r="A237" s="131">
        <v>1</v>
      </c>
      <c r="B237" s="136" t="s">
        <v>233</v>
      </c>
      <c r="C237" s="376" t="s">
        <v>299</v>
      </c>
      <c r="D237" s="212" t="s">
        <v>119</v>
      </c>
      <c r="E237" s="13"/>
      <c r="F237" s="2">
        <v>400</v>
      </c>
      <c r="G237" s="62"/>
      <c r="H237" s="62"/>
      <c r="I237" s="62"/>
    </row>
    <row r="238" spans="1:9" s="55" customFormat="1" ht="43.5" hidden="1" x14ac:dyDescent="0.25">
      <c r="A238" s="131"/>
      <c r="B238" s="136"/>
      <c r="C238" s="376"/>
      <c r="D238" s="21" t="s">
        <v>396</v>
      </c>
      <c r="E238" s="13"/>
      <c r="F238" s="29">
        <f>F202</f>
        <v>5915</v>
      </c>
      <c r="G238" s="62"/>
      <c r="H238" s="62"/>
      <c r="I238" s="62"/>
    </row>
    <row r="239" spans="1:9" s="55" customFormat="1" hidden="1" x14ac:dyDescent="0.25">
      <c r="A239" s="131"/>
      <c r="B239" s="136" t="s">
        <v>233</v>
      </c>
      <c r="C239" s="376" t="s">
        <v>299</v>
      </c>
      <c r="D239" s="21" t="s">
        <v>195</v>
      </c>
      <c r="E239" s="13"/>
      <c r="F239" s="29">
        <f>F215+F191</f>
        <v>40274</v>
      </c>
      <c r="G239" s="62"/>
      <c r="H239" s="62"/>
      <c r="I239" s="62"/>
    </row>
    <row r="240" spans="1:9" s="55" customFormat="1" ht="29.25" hidden="1" x14ac:dyDescent="0.25">
      <c r="A240" s="131"/>
      <c r="B240" s="136" t="s">
        <v>233</v>
      </c>
      <c r="C240" s="376" t="s">
        <v>299</v>
      </c>
      <c r="D240" s="21" t="s">
        <v>196</v>
      </c>
      <c r="E240" s="13"/>
      <c r="F240" s="29">
        <f>F203</f>
        <v>14679</v>
      </c>
      <c r="G240" s="62"/>
      <c r="H240" s="62"/>
      <c r="I240" s="62"/>
    </row>
    <row r="241" spans="1:9" s="55" customFormat="1" hidden="1" x14ac:dyDescent="0.25">
      <c r="A241" s="131"/>
      <c r="B241" s="136" t="s">
        <v>233</v>
      </c>
      <c r="C241" s="376" t="s">
        <v>299</v>
      </c>
      <c r="D241" s="21" t="s">
        <v>197</v>
      </c>
      <c r="E241" s="13"/>
      <c r="F241" s="29">
        <f>F225+F197</f>
        <v>25000</v>
      </c>
      <c r="G241" s="62"/>
      <c r="H241" s="62"/>
      <c r="I241" s="62"/>
    </row>
    <row r="242" spans="1:9" s="55" customFormat="1" ht="29.25" hidden="1" x14ac:dyDescent="0.25">
      <c r="A242" s="131">
        <v>1</v>
      </c>
      <c r="B242" s="136" t="s">
        <v>233</v>
      </c>
      <c r="C242" s="376" t="s">
        <v>299</v>
      </c>
      <c r="D242" s="21" t="s">
        <v>198</v>
      </c>
      <c r="E242" s="13"/>
      <c r="F242" s="29">
        <f>F229+F231</f>
        <v>8503</v>
      </c>
      <c r="G242" s="62"/>
      <c r="H242" s="62"/>
      <c r="I242" s="62"/>
    </row>
    <row r="243" spans="1:9" s="55" customFormat="1" hidden="1" x14ac:dyDescent="0.25">
      <c r="A243" s="131">
        <v>1</v>
      </c>
      <c r="B243" s="136" t="s">
        <v>233</v>
      </c>
      <c r="C243" s="376" t="s">
        <v>299</v>
      </c>
      <c r="D243" s="22" t="s">
        <v>112</v>
      </c>
      <c r="E243" s="13"/>
      <c r="F243" s="29">
        <f>F239+F240+F242+F197*2.6+F238*2.6</f>
        <v>143835</v>
      </c>
      <c r="G243" s="62"/>
      <c r="H243" s="62"/>
      <c r="I243" s="62"/>
    </row>
    <row r="244" spans="1:9" s="145" customFormat="1" ht="15.75" hidden="1" x14ac:dyDescent="0.25">
      <c r="A244" s="131">
        <v>1</v>
      </c>
      <c r="B244" s="136" t="s">
        <v>233</v>
      </c>
      <c r="C244" s="376" t="s">
        <v>299</v>
      </c>
      <c r="D244" s="23" t="s">
        <v>7</v>
      </c>
      <c r="E244" s="402"/>
      <c r="F244" s="2"/>
      <c r="G244" s="2"/>
      <c r="H244" s="2"/>
      <c r="I244" s="2"/>
    </row>
    <row r="245" spans="1:9" s="145" customFormat="1" ht="15.75" hidden="1" x14ac:dyDescent="0.25">
      <c r="A245" s="131">
        <v>1</v>
      </c>
      <c r="B245" s="136" t="s">
        <v>233</v>
      </c>
      <c r="C245" s="376" t="s">
        <v>299</v>
      </c>
      <c r="D245" s="149" t="s">
        <v>93</v>
      </c>
      <c r="E245" s="402"/>
      <c r="F245" s="2"/>
      <c r="G245" s="2"/>
      <c r="H245" s="2"/>
      <c r="I245" s="2"/>
    </row>
    <row r="246" spans="1:9" s="145" customFormat="1" hidden="1" x14ac:dyDescent="0.25">
      <c r="A246" s="131">
        <v>1</v>
      </c>
      <c r="B246" s="136" t="s">
        <v>233</v>
      </c>
      <c r="C246" s="376" t="s">
        <v>299</v>
      </c>
      <c r="D246" s="1" t="s">
        <v>8</v>
      </c>
      <c r="E246" s="402">
        <v>300</v>
      </c>
      <c r="F246" s="398">
        <v>825</v>
      </c>
      <c r="G246" s="635">
        <v>7.5</v>
      </c>
      <c r="H246" s="2">
        <f>ROUND(I246/E246,0)</f>
        <v>21</v>
      </c>
      <c r="I246" s="2">
        <f>ROUND(F246*G246,0)</f>
        <v>6188</v>
      </c>
    </row>
    <row r="247" spans="1:9" s="145" customFormat="1" hidden="1" x14ac:dyDescent="0.25">
      <c r="A247" s="131">
        <v>1</v>
      </c>
      <c r="B247" s="136" t="s">
        <v>233</v>
      </c>
      <c r="C247" s="376" t="s">
        <v>299</v>
      </c>
      <c r="D247" s="1" t="s">
        <v>43</v>
      </c>
      <c r="E247" s="402">
        <v>300</v>
      </c>
      <c r="F247" s="398">
        <v>140</v>
      </c>
      <c r="G247" s="635">
        <v>10</v>
      </c>
      <c r="H247" s="2">
        <f>ROUND(I247/E247,0)</f>
        <v>5</v>
      </c>
      <c r="I247" s="2">
        <f>ROUND(F247*G247,0)</f>
        <v>1400</v>
      </c>
    </row>
    <row r="248" spans="1:9" s="145" customFormat="1" hidden="1" x14ac:dyDescent="0.25">
      <c r="A248" s="131">
        <v>1</v>
      </c>
      <c r="B248" s="136" t="s">
        <v>233</v>
      </c>
      <c r="C248" s="376" t="s">
        <v>299</v>
      </c>
      <c r="D248" s="1" t="s">
        <v>42</v>
      </c>
      <c r="E248" s="402">
        <v>300</v>
      </c>
      <c r="F248" s="398">
        <v>394</v>
      </c>
      <c r="G248" s="636">
        <v>4</v>
      </c>
      <c r="H248" s="2">
        <f>ROUND(I248/E248,0)</f>
        <v>5</v>
      </c>
      <c r="I248" s="2">
        <f>ROUND(F248*G248,0)</f>
        <v>1576</v>
      </c>
    </row>
    <row r="249" spans="1:9" s="145" customFormat="1" hidden="1" x14ac:dyDescent="0.25">
      <c r="A249" s="131">
        <v>1</v>
      </c>
      <c r="B249" s="136" t="s">
        <v>233</v>
      </c>
      <c r="C249" s="376" t="s">
        <v>299</v>
      </c>
      <c r="D249" s="154" t="s">
        <v>9</v>
      </c>
      <c r="E249" s="403"/>
      <c r="F249" s="403">
        <f>SUM(F246:F248)</f>
        <v>1359</v>
      </c>
      <c r="G249" s="158">
        <f>I249/F249</f>
        <v>6.7431935246504784</v>
      </c>
      <c r="H249" s="403">
        <f t="shared" ref="H249:I249" si="5">SUM(H246:H248)</f>
        <v>31</v>
      </c>
      <c r="I249" s="403">
        <f t="shared" si="5"/>
        <v>9164</v>
      </c>
    </row>
    <row r="250" spans="1:9" s="145" customFormat="1" hidden="1" x14ac:dyDescent="0.25">
      <c r="A250" s="131">
        <v>1</v>
      </c>
      <c r="B250" s="136" t="s">
        <v>233</v>
      </c>
      <c r="C250" s="376" t="s">
        <v>299</v>
      </c>
      <c r="D250" s="40" t="s">
        <v>71</v>
      </c>
      <c r="E250" s="403"/>
      <c r="F250" s="637"/>
      <c r="G250" s="36"/>
      <c r="H250" s="637"/>
      <c r="I250" s="637"/>
    </row>
    <row r="251" spans="1:9" s="145" customFormat="1" hidden="1" x14ac:dyDescent="0.25">
      <c r="A251" s="131"/>
      <c r="B251" s="136"/>
      <c r="C251" s="376" t="s">
        <v>299</v>
      </c>
      <c r="D251" s="25" t="s">
        <v>25</v>
      </c>
      <c r="E251" s="336">
        <v>240</v>
      </c>
      <c r="F251" s="2">
        <v>20</v>
      </c>
      <c r="G251" s="337">
        <v>8</v>
      </c>
      <c r="H251" s="2">
        <f>ROUND(I251/E251,0)</f>
        <v>1</v>
      </c>
      <c r="I251" s="2">
        <f>ROUND(F251*G251,0)</f>
        <v>160</v>
      </c>
    </row>
    <row r="252" spans="1:9" s="145" customFormat="1" hidden="1" x14ac:dyDescent="0.25">
      <c r="A252" s="131">
        <v>1</v>
      </c>
      <c r="B252" s="136" t="s">
        <v>233</v>
      </c>
      <c r="C252" s="376" t="s">
        <v>299</v>
      </c>
      <c r="D252" s="25" t="s">
        <v>20</v>
      </c>
      <c r="E252" s="24">
        <v>240</v>
      </c>
      <c r="F252" s="10">
        <v>480</v>
      </c>
      <c r="G252" s="540">
        <v>10</v>
      </c>
      <c r="H252" s="2">
        <f>ROUND(I252/E252,0)</f>
        <v>20</v>
      </c>
      <c r="I252" s="2">
        <f>ROUND(F252*G252,0)</f>
        <v>4800</v>
      </c>
    </row>
    <row r="253" spans="1:9" s="145" customFormat="1" hidden="1" x14ac:dyDescent="0.25">
      <c r="A253" s="131"/>
      <c r="B253" s="136" t="s">
        <v>233</v>
      </c>
      <c r="C253" s="376" t="s">
        <v>299</v>
      </c>
      <c r="D253" s="25" t="s">
        <v>55</v>
      </c>
      <c r="E253" s="24">
        <v>240</v>
      </c>
      <c r="F253" s="10">
        <v>125</v>
      </c>
      <c r="G253" s="540">
        <v>8</v>
      </c>
      <c r="H253" s="2">
        <f>ROUND(I253/E253,0)</f>
        <v>4</v>
      </c>
      <c r="I253" s="2">
        <f>ROUND(F253*G253,0)</f>
        <v>1000</v>
      </c>
    </row>
    <row r="254" spans="1:9" s="145" customFormat="1" hidden="1" x14ac:dyDescent="0.25">
      <c r="A254" s="131">
        <v>1</v>
      </c>
      <c r="B254" s="136" t="s">
        <v>233</v>
      </c>
      <c r="C254" s="376" t="s">
        <v>299</v>
      </c>
      <c r="D254" s="25" t="s">
        <v>79</v>
      </c>
      <c r="E254" s="24">
        <v>240</v>
      </c>
      <c r="F254" s="10">
        <v>285</v>
      </c>
      <c r="G254" s="540">
        <v>2</v>
      </c>
      <c r="H254" s="2">
        <f>ROUND(I254/E254,0)</f>
        <v>2</v>
      </c>
      <c r="I254" s="2">
        <f>ROUND(F254*G254,0)</f>
        <v>570</v>
      </c>
    </row>
    <row r="255" spans="1:9" s="145" customFormat="1" hidden="1" x14ac:dyDescent="0.25">
      <c r="A255" s="131">
        <v>1</v>
      </c>
      <c r="B255" s="136" t="s">
        <v>233</v>
      </c>
      <c r="C255" s="376" t="s">
        <v>299</v>
      </c>
      <c r="D255" s="154" t="s">
        <v>94</v>
      </c>
      <c r="E255" s="638"/>
      <c r="F255" s="31">
        <f>SUM(F251:F254)</f>
        <v>910</v>
      </c>
      <c r="G255" s="158">
        <f>I255/F255</f>
        <v>7.1758241758241761</v>
      </c>
      <c r="H255" s="31">
        <f>SUM(H251:H254)</f>
        <v>27</v>
      </c>
      <c r="I255" s="31">
        <f>SUM(I251:I254)</f>
        <v>6530</v>
      </c>
    </row>
    <row r="256" spans="1:9" hidden="1" x14ac:dyDescent="0.25">
      <c r="A256" s="131">
        <v>1</v>
      </c>
      <c r="B256" s="136" t="s">
        <v>233</v>
      </c>
      <c r="C256" s="376" t="s">
        <v>299</v>
      </c>
      <c r="D256" s="26" t="s">
        <v>88</v>
      </c>
      <c r="E256" s="157"/>
      <c r="F256" s="29">
        <f>F255+F249</f>
        <v>2269</v>
      </c>
      <c r="G256" s="158">
        <f>I256/F256</f>
        <v>6.9167033935654469</v>
      </c>
      <c r="H256" s="29">
        <f>H249+H255</f>
        <v>58</v>
      </c>
      <c r="I256" s="29">
        <f>I249+I255</f>
        <v>15694</v>
      </c>
    </row>
    <row r="257" spans="1:35" s="397" customFormat="1" hidden="1" x14ac:dyDescent="0.25">
      <c r="A257" s="131">
        <v>1</v>
      </c>
      <c r="B257" s="136" t="s">
        <v>233</v>
      </c>
      <c r="C257" s="376" t="s">
        <v>299</v>
      </c>
      <c r="D257" s="400" t="s">
        <v>213</v>
      </c>
      <c r="E257" s="401"/>
      <c r="F257" s="401"/>
      <c r="G257" s="401"/>
      <c r="H257" s="401"/>
      <c r="I257" s="401"/>
      <c r="J257" s="396"/>
      <c r="K257" s="396"/>
      <c r="L257" s="396"/>
      <c r="M257" s="396"/>
      <c r="N257" s="396"/>
      <c r="O257" s="396"/>
      <c r="P257" s="396"/>
      <c r="Q257" s="396"/>
      <c r="R257" s="396"/>
      <c r="S257" s="396"/>
      <c r="T257" s="396"/>
      <c r="U257" s="396"/>
      <c r="V257" s="396"/>
      <c r="W257" s="396"/>
      <c r="X257" s="396"/>
      <c r="Y257" s="396"/>
      <c r="Z257" s="396"/>
      <c r="AA257" s="396"/>
      <c r="AB257" s="396"/>
      <c r="AC257" s="396"/>
      <c r="AD257" s="396"/>
      <c r="AE257" s="396"/>
      <c r="AF257" s="396"/>
      <c r="AG257" s="396"/>
      <c r="AH257" s="396"/>
      <c r="AI257" s="396"/>
    </row>
    <row r="258" spans="1:35" hidden="1" x14ac:dyDescent="0.25">
      <c r="A258" s="131">
        <v>1</v>
      </c>
      <c r="C258" s="376" t="s">
        <v>299</v>
      </c>
      <c r="D258" s="639"/>
      <c r="E258" s="395"/>
      <c r="F258" s="2"/>
      <c r="G258" s="2"/>
      <c r="H258" s="2"/>
      <c r="I258" s="2"/>
    </row>
    <row r="259" spans="1:35" ht="31.5" x14ac:dyDescent="0.25">
      <c r="A259" s="131">
        <v>1</v>
      </c>
      <c r="B259" s="136" t="s">
        <v>234</v>
      </c>
      <c r="C259" s="376" t="s">
        <v>299</v>
      </c>
      <c r="D259" s="763" t="s">
        <v>316</v>
      </c>
      <c r="E259" s="398"/>
      <c r="F259" s="2"/>
      <c r="G259" s="2"/>
      <c r="H259" s="2"/>
      <c r="I259" s="2"/>
    </row>
    <row r="260" spans="1:35" x14ac:dyDescent="0.25">
      <c r="A260" s="131">
        <v>1</v>
      </c>
      <c r="B260" s="136" t="s">
        <v>234</v>
      </c>
      <c r="C260" s="376" t="s">
        <v>299</v>
      </c>
      <c r="D260" s="137" t="s">
        <v>4</v>
      </c>
      <c r="E260" s="398"/>
      <c r="F260" s="2"/>
      <c r="G260" s="2"/>
      <c r="H260" s="2"/>
      <c r="I260" s="2"/>
    </row>
    <row r="261" spans="1:35" x14ac:dyDescent="0.25">
      <c r="A261" s="131">
        <v>1</v>
      </c>
      <c r="B261" s="136" t="s">
        <v>234</v>
      </c>
      <c r="C261" s="376" t="s">
        <v>299</v>
      </c>
      <c r="D261" s="141" t="s">
        <v>57</v>
      </c>
      <c r="E261" s="336">
        <v>340</v>
      </c>
      <c r="F261" s="2">
        <f>350-13</f>
        <v>337</v>
      </c>
      <c r="G261" s="337">
        <v>8.3000000000000007</v>
      </c>
      <c r="H261" s="2">
        <f>I261/E261</f>
        <v>8.2264705882352942</v>
      </c>
      <c r="I261" s="2">
        <f t="shared" ref="I261:I276" si="6">ROUND(F261*G261,0)</f>
        <v>2797</v>
      </c>
    </row>
    <row r="262" spans="1:35" x14ac:dyDescent="0.25">
      <c r="A262" s="131">
        <v>1</v>
      </c>
      <c r="B262" s="136" t="s">
        <v>234</v>
      </c>
      <c r="C262" s="376" t="s">
        <v>299</v>
      </c>
      <c r="D262" s="141" t="s">
        <v>47</v>
      </c>
      <c r="E262" s="336">
        <v>300</v>
      </c>
      <c r="F262" s="2">
        <f>1400-110</f>
        <v>1290</v>
      </c>
      <c r="G262" s="337">
        <v>7.1</v>
      </c>
      <c r="H262" s="2">
        <f t="shared" ref="H262:H276" si="7">I262/E262</f>
        <v>30.53</v>
      </c>
      <c r="I262" s="2">
        <f t="shared" si="6"/>
        <v>9159</v>
      </c>
    </row>
    <row r="263" spans="1:35" x14ac:dyDescent="0.25">
      <c r="B263" s="136"/>
      <c r="C263" s="376" t="s">
        <v>299</v>
      </c>
      <c r="D263" s="141" t="s">
        <v>25</v>
      </c>
      <c r="E263" s="336">
        <v>340</v>
      </c>
      <c r="F263" s="2"/>
      <c r="G263" s="337">
        <v>14</v>
      </c>
      <c r="H263" s="2">
        <f t="shared" ref="H263" si="8">I263/E263</f>
        <v>0</v>
      </c>
      <c r="I263" s="2">
        <f t="shared" ref="I263" si="9">ROUND(F263*G263,0)</f>
        <v>0</v>
      </c>
    </row>
    <row r="264" spans="1:35" x14ac:dyDescent="0.25">
      <c r="A264" s="131">
        <v>1</v>
      </c>
      <c r="B264" s="136" t="s">
        <v>234</v>
      </c>
      <c r="C264" s="376" t="s">
        <v>299</v>
      </c>
      <c r="D264" s="141" t="s">
        <v>34</v>
      </c>
      <c r="E264" s="336">
        <v>340</v>
      </c>
      <c r="F264" s="2">
        <f>1670-31-37</f>
        <v>1602</v>
      </c>
      <c r="G264" s="337">
        <v>11</v>
      </c>
      <c r="H264" s="2">
        <f t="shared" si="7"/>
        <v>51.829411764705881</v>
      </c>
      <c r="I264" s="2">
        <f t="shared" si="6"/>
        <v>17622</v>
      </c>
    </row>
    <row r="265" spans="1:35" x14ac:dyDescent="0.25">
      <c r="A265" s="131">
        <v>1</v>
      </c>
      <c r="B265" s="136" t="s">
        <v>234</v>
      </c>
      <c r="C265" s="376" t="s">
        <v>299</v>
      </c>
      <c r="D265" s="46" t="s">
        <v>110</v>
      </c>
      <c r="E265" s="52">
        <v>300</v>
      </c>
      <c r="F265" s="2">
        <v>70</v>
      </c>
      <c r="G265" s="47">
        <v>15</v>
      </c>
      <c r="H265" s="2">
        <f t="shared" si="7"/>
        <v>3.5</v>
      </c>
      <c r="I265" s="2">
        <f t="shared" si="6"/>
        <v>1050</v>
      </c>
    </row>
    <row r="266" spans="1:35" x14ac:dyDescent="0.25">
      <c r="A266" s="131">
        <v>1</v>
      </c>
      <c r="B266" s="136" t="s">
        <v>234</v>
      </c>
      <c r="C266" s="376" t="s">
        <v>299</v>
      </c>
      <c r="D266" s="141" t="s">
        <v>55</v>
      </c>
      <c r="E266" s="336">
        <v>340</v>
      </c>
      <c r="F266" s="2">
        <f>1600-92-66</f>
        <v>1442</v>
      </c>
      <c r="G266" s="337">
        <v>8.4</v>
      </c>
      <c r="H266" s="2">
        <f t="shared" si="7"/>
        <v>35.626470588235293</v>
      </c>
      <c r="I266" s="2">
        <f t="shared" si="6"/>
        <v>12113</v>
      </c>
    </row>
    <row r="267" spans="1:35" x14ac:dyDescent="0.25">
      <c r="A267" s="131">
        <v>1</v>
      </c>
      <c r="B267" s="136" t="s">
        <v>234</v>
      </c>
      <c r="C267" s="376" t="s">
        <v>299</v>
      </c>
      <c r="D267" s="141" t="s">
        <v>46</v>
      </c>
      <c r="E267" s="336">
        <v>340</v>
      </c>
      <c r="F267" s="2">
        <f>950-5-32</f>
        <v>913</v>
      </c>
      <c r="G267" s="337">
        <v>11</v>
      </c>
      <c r="H267" s="2">
        <f t="shared" si="7"/>
        <v>29.538235294117648</v>
      </c>
      <c r="I267" s="2">
        <f t="shared" si="6"/>
        <v>10043</v>
      </c>
    </row>
    <row r="268" spans="1:35" x14ac:dyDescent="0.25">
      <c r="A268" s="131">
        <v>1</v>
      </c>
      <c r="B268" s="136" t="s">
        <v>234</v>
      </c>
      <c r="C268" s="376" t="s">
        <v>299</v>
      </c>
      <c r="D268" s="141" t="s">
        <v>38</v>
      </c>
      <c r="E268" s="336">
        <v>340</v>
      </c>
      <c r="F268" s="2">
        <v>350</v>
      </c>
      <c r="G268" s="337">
        <v>12.2</v>
      </c>
      <c r="H268" s="2">
        <f t="shared" si="7"/>
        <v>12.558823529411764</v>
      </c>
      <c r="I268" s="2">
        <f t="shared" si="6"/>
        <v>4270</v>
      </c>
    </row>
    <row r="269" spans="1:35" x14ac:dyDescent="0.25">
      <c r="A269" s="131">
        <v>1</v>
      </c>
      <c r="B269" s="136" t="s">
        <v>234</v>
      </c>
      <c r="C269" s="376" t="s">
        <v>299</v>
      </c>
      <c r="D269" s="141" t="s">
        <v>22</v>
      </c>
      <c r="E269" s="139">
        <v>340</v>
      </c>
      <c r="F269" s="2">
        <f>1420-50</f>
        <v>1370</v>
      </c>
      <c r="G269" s="404">
        <v>8</v>
      </c>
      <c r="H269" s="2">
        <f t="shared" si="7"/>
        <v>32.235294117647058</v>
      </c>
      <c r="I269" s="2">
        <f t="shared" si="6"/>
        <v>10960</v>
      </c>
    </row>
    <row r="270" spans="1:35" ht="16.5" customHeight="1" x14ac:dyDescent="0.25">
      <c r="A270" s="131">
        <v>1</v>
      </c>
      <c r="B270" s="136" t="s">
        <v>234</v>
      </c>
      <c r="C270" s="376" t="s">
        <v>299</v>
      </c>
      <c r="D270" s="32" t="s">
        <v>81</v>
      </c>
      <c r="E270" s="336">
        <v>320</v>
      </c>
      <c r="F270" s="2">
        <v>430</v>
      </c>
      <c r="G270" s="405">
        <v>9.6</v>
      </c>
      <c r="H270" s="2">
        <f t="shared" si="7"/>
        <v>12.9</v>
      </c>
      <c r="I270" s="2">
        <f t="shared" si="6"/>
        <v>4128</v>
      </c>
    </row>
    <row r="271" spans="1:35" x14ac:dyDescent="0.25">
      <c r="A271" s="131">
        <v>1</v>
      </c>
      <c r="B271" s="136" t="s">
        <v>234</v>
      </c>
      <c r="C271" s="376" t="s">
        <v>299</v>
      </c>
      <c r="D271" s="141" t="s">
        <v>35</v>
      </c>
      <c r="E271" s="336">
        <v>340</v>
      </c>
      <c r="F271" s="2">
        <v>1150</v>
      </c>
      <c r="G271" s="337">
        <v>7.8</v>
      </c>
      <c r="H271" s="2">
        <f t="shared" si="7"/>
        <v>26.382352941176471</v>
      </c>
      <c r="I271" s="2">
        <f t="shared" si="6"/>
        <v>8970</v>
      </c>
    </row>
    <row r="272" spans="1:35" x14ac:dyDescent="0.25">
      <c r="A272" s="131">
        <v>1</v>
      </c>
      <c r="B272" s="136" t="s">
        <v>234</v>
      </c>
      <c r="C272" s="376" t="s">
        <v>299</v>
      </c>
      <c r="D272" s="141" t="s">
        <v>56</v>
      </c>
      <c r="E272" s="336">
        <v>340</v>
      </c>
      <c r="F272" s="2">
        <v>1250</v>
      </c>
      <c r="G272" s="337">
        <v>10.8</v>
      </c>
      <c r="H272" s="2">
        <f t="shared" si="7"/>
        <v>39.705882352941174</v>
      </c>
      <c r="I272" s="2">
        <f t="shared" si="6"/>
        <v>13500</v>
      </c>
    </row>
    <row r="273" spans="1:9" x14ac:dyDescent="0.25">
      <c r="A273" s="131">
        <v>1</v>
      </c>
      <c r="B273" s="136" t="s">
        <v>234</v>
      </c>
      <c r="C273" s="376" t="s">
        <v>299</v>
      </c>
      <c r="D273" s="141" t="s">
        <v>10</v>
      </c>
      <c r="E273" s="336">
        <v>340</v>
      </c>
      <c r="F273" s="2">
        <f>3100-16-30</f>
        <v>3054</v>
      </c>
      <c r="G273" s="337">
        <v>8.6</v>
      </c>
      <c r="H273" s="2">
        <f t="shared" si="7"/>
        <v>77.247058823529414</v>
      </c>
      <c r="I273" s="2">
        <f t="shared" si="6"/>
        <v>26264</v>
      </c>
    </row>
    <row r="274" spans="1:9" x14ac:dyDescent="0.25">
      <c r="A274" s="131">
        <v>1</v>
      </c>
      <c r="B274" s="136" t="s">
        <v>234</v>
      </c>
      <c r="C274" s="376" t="s">
        <v>299</v>
      </c>
      <c r="D274" s="141" t="s">
        <v>44</v>
      </c>
      <c r="E274" s="336">
        <v>340</v>
      </c>
      <c r="F274" s="2">
        <v>1000</v>
      </c>
      <c r="G274" s="337">
        <v>10.6</v>
      </c>
      <c r="H274" s="2">
        <f t="shared" si="7"/>
        <v>31.176470588235293</v>
      </c>
      <c r="I274" s="2">
        <f t="shared" si="6"/>
        <v>10600</v>
      </c>
    </row>
    <row r="275" spans="1:9" x14ac:dyDescent="0.25">
      <c r="A275" s="131">
        <v>1</v>
      </c>
      <c r="B275" s="136" t="s">
        <v>234</v>
      </c>
      <c r="C275" s="376" t="s">
        <v>299</v>
      </c>
      <c r="D275" s="141" t="s">
        <v>77</v>
      </c>
      <c r="E275" s="336">
        <v>340</v>
      </c>
      <c r="F275" s="2">
        <v>750</v>
      </c>
      <c r="G275" s="337">
        <v>7</v>
      </c>
      <c r="H275" s="2">
        <f t="shared" si="7"/>
        <v>15.441176470588236</v>
      </c>
      <c r="I275" s="2">
        <f t="shared" si="6"/>
        <v>5250</v>
      </c>
    </row>
    <row r="276" spans="1:9" x14ac:dyDescent="0.25">
      <c r="A276" s="131">
        <v>1</v>
      </c>
      <c r="B276" s="136" t="s">
        <v>234</v>
      </c>
      <c r="C276" s="376" t="s">
        <v>299</v>
      </c>
      <c r="D276" s="141" t="s">
        <v>45</v>
      </c>
      <c r="E276" s="336">
        <v>340</v>
      </c>
      <c r="F276" s="2">
        <v>260</v>
      </c>
      <c r="G276" s="337">
        <v>7</v>
      </c>
      <c r="H276" s="2">
        <f t="shared" si="7"/>
        <v>5.3529411764705879</v>
      </c>
      <c r="I276" s="2">
        <f t="shared" si="6"/>
        <v>1820</v>
      </c>
    </row>
    <row r="277" spans="1:9" s="145" customFormat="1" x14ac:dyDescent="0.25">
      <c r="A277" s="131">
        <v>1</v>
      </c>
      <c r="B277" s="136" t="s">
        <v>234</v>
      </c>
      <c r="C277" s="376" t="s">
        <v>299</v>
      </c>
      <c r="D277" s="390" t="s">
        <v>5</v>
      </c>
      <c r="E277" s="199"/>
      <c r="F277" s="29">
        <f>SUM(F261:F276)</f>
        <v>15268</v>
      </c>
      <c r="G277" s="158">
        <f>I277/F277</f>
        <v>9.0742729892585796</v>
      </c>
      <c r="H277" s="29">
        <f>SUM(H261:H276)</f>
        <v>412.25058823529417</v>
      </c>
      <c r="I277" s="29">
        <f>SUM(I261:I276)</f>
        <v>138546</v>
      </c>
    </row>
    <row r="278" spans="1:9" s="145" customFormat="1" x14ac:dyDescent="0.25">
      <c r="A278" s="131"/>
      <c r="B278" s="136" t="s">
        <v>234</v>
      </c>
      <c r="C278" s="376" t="s">
        <v>299</v>
      </c>
      <c r="D278" s="143" t="s">
        <v>207</v>
      </c>
      <c r="E278" s="199"/>
      <c r="F278" s="29">
        <v>370</v>
      </c>
      <c r="G278" s="158"/>
      <c r="H278" s="29"/>
      <c r="I278" s="29"/>
    </row>
    <row r="279" spans="1:9" s="55" customFormat="1" ht="43.5" customHeight="1" x14ac:dyDescent="0.25">
      <c r="A279" s="131">
        <v>1</v>
      </c>
      <c r="B279" s="136" t="s">
        <v>234</v>
      </c>
      <c r="C279" s="376" t="s">
        <v>299</v>
      </c>
      <c r="D279" s="128" t="s">
        <v>250</v>
      </c>
      <c r="E279" s="12"/>
      <c r="F279" s="77"/>
      <c r="G279" s="54"/>
      <c r="H279" s="54"/>
      <c r="I279" s="54"/>
    </row>
    <row r="280" spans="1:9" s="55" customFormat="1" x14ac:dyDescent="0.25">
      <c r="A280" s="131"/>
      <c r="B280" s="136" t="s">
        <v>234</v>
      </c>
      <c r="C280" s="376" t="s">
        <v>299</v>
      </c>
      <c r="D280" s="14" t="s">
        <v>192</v>
      </c>
      <c r="E280" s="12"/>
      <c r="F280" s="77">
        <f>F282+F284+F285</f>
        <v>37150</v>
      </c>
      <c r="G280" s="54"/>
      <c r="H280" s="54"/>
      <c r="I280" s="54"/>
    </row>
    <row r="281" spans="1:9" s="55" customFormat="1" x14ac:dyDescent="0.25">
      <c r="A281" s="131"/>
      <c r="B281" s="136" t="s">
        <v>234</v>
      </c>
      <c r="C281" s="376" t="s">
        <v>299</v>
      </c>
      <c r="D281" s="18" t="s">
        <v>116</v>
      </c>
      <c r="E281" s="12"/>
      <c r="F281" s="77"/>
      <c r="G281" s="54"/>
      <c r="H281" s="54"/>
      <c r="I281" s="54"/>
    </row>
    <row r="282" spans="1:9" s="55" customFormat="1" ht="30" x14ac:dyDescent="0.25">
      <c r="A282" s="131"/>
      <c r="B282" s="136" t="s">
        <v>234</v>
      </c>
      <c r="C282" s="376" t="s">
        <v>299</v>
      </c>
      <c r="D282" s="15" t="s">
        <v>397</v>
      </c>
      <c r="E282" s="12"/>
      <c r="F282" s="62">
        <v>13150</v>
      </c>
      <c r="G282" s="54"/>
      <c r="H282" s="54"/>
      <c r="I282" s="54"/>
    </row>
    <row r="283" spans="1:9" s="55" customFormat="1" ht="45" x14ac:dyDescent="0.25">
      <c r="A283" s="131"/>
      <c r="B283" s="136" t="s">
        <v>234</v>
      </c>
      <c r="C283" s="376" t="s">
        <v>299</v>
      </c>
      <c r="D283" s="15" t="s">
        <v>398</v>
      </c>
      <c r="E283" s="12"/>
      <c r="F283" s="77"/>
      <c r="G283" s="54"/>
      <c r="H283" s="54"/>
      <c r="I283" s="54"/>
    </row>
    <row r="284" spans="1:9" s="55" customFormat="1" ht="45" x14ac:dyDescent="0.25">
      <c r="A284" s="131"/>
      <c r="B284" s="136" t="s">
        <v>234</v>
      </c>
      <c r="C284" s="376" t="s">
        <v>299</v>
      </c>
      <c r="D284" s="15" t="s">
        <v>399</v>
      </c>
      <c r="E284" s="12"/>
      <c r="F284" s="62">
        <v>20000</v>
      </c>
      <c r="G284" s="54"/>
      <c r="H284" s="54"/>
      <c r="I284" s="54"/>
    </row>
    <row r="285" spans="1:9" s="55" customFormat="1" ht="75" x14ac:dyDescent="0.25">
      <c r="A285" s="131"/>
      <c r="B285" s="136"/>
      <c r="C285" s="376" t="s">
        <v>299</v>
      </c>
      <c r="D285" s="15" t="s">
        <v>400</v>
      </c>
      <c r="E285" s="12"/>
      <c r="F285" s="62">
        <v>4000</v>
      </c>
      <c r="G285" s="54"/>
      <c r="H285" s="54"/>
      <c r="I285" s="54"/>
    </row>
    <row r="286" spans="1:9" s="55" customFormat="1" x14ac:dyDescent="0.25">
      <c r="A286" s="131"/>
      <c r="B286" s="136" t="s">
        <v>234</v>
      </c>
      <c r="C286" s="376" t="s">
        <v>299</v>
      </c>
      <c r="D286" s="57" t="s">
        <v>90</v>
      </c>
      <c r="E286" s="12"/>
      <c r="F286" s="77">
        <f>F287+F288+F289</f>
        <v>80010</v>
      </c>
      <c r="G286" s="54"/>
      <c r="H286" s="54"/>
      <c r="I286" s="54"/>
    </row>
    <row r="287" spans="1:9" s="55" customFormat="1" x14ac:dyDescent="0.25">
      <c r="A287" s="131"/>
      <c r="B287" s="136" t="s">
        <v>234</v>
      </c>
      <c r="C287" s="376" t="s">
        <v>299</v>
      </c>
      <c r="D287" s="15" t="s">
        <v>145</v>
      </c>
      <c r="E287" s="12"/>
      <c r="F287" s="62">
        <v>75406</v>
      </c>
      <c r="G287" s="54"/>
      <c r="H287" s="54"/>
      <c r="I287" s="54"/>
    </row>
    <row r="288" spans="1:9" s="55" customFormat="1" ht="45" x14ac:dyDescent="0.25">
      <c r="A288" s="131"/>
      <c r="B288" s="136"/>
      <c r="C288" s="376"/>
      <c r="D288" s="15" t="s">
        <v>414</v>
      </c>
      <c r="E288" s="12"/>
      <c r="F288" s="62"/>
      <c r="G288" s="54"/>
      <c r="H288" s="54"/>
      <c r="I288" s="54"/>
    </row>
    <row r="289" spans="1:9" s="55" customFormat="1" ht="60" x14ac:dyDescent="0.25">
      <c r="A289" s="131"/>
      <c r="B289" s="136"/>
      <c r="C289" s="376"/>
      <c r="D289" s="15" t="s">
        <v>421</v>
      </c>
      <c r="E289" s="12"/>
      <c r="F289" s="62">
        <v>4604</v>
      </c>
      <c r="G289" s="54"/>
      <c r="H289" s="54"/>
      <c r="I289" s="54"/>
    </row>
    <row r="290" spans="1:9" s="55" customFormat="1" x14ac:dyDescent="0.25">
      <c r="A290" s="131"/>
      <c r="B290" s="136"/>
      <c r="C290" s="376"/>
      <c r="D290" s="33" t="s">
        <v>98</v>
      </c>
      <c r="E290" s="12"/>
      <c r="F290" s="62"/>
      <c r="G290" s="54"/>
      <c r="H290" s="54"/>
      <c r="I290" s="54"/>
    </row>
    <row r="291" spans="1:9" s="55" customFormat="1" ht="75" x14ac:dyDescent="0.25">
      <c r="A291" s="131"/>
      <c r="B291" s="136"/>
      <c r="C291" s="376"/>
      <c r="D291" s="15" t="s">
        <v>420</v>
      </c>
      <c r="E291" s="12"/>
      <c r="F291" s="62">
        <v>23021</v>
      </c>
      <c r="G291" s="54"/>
      <c r="H291" s="54"/>
      <c r="I291" s="54"/>
    </row>
    <row r="292" spans="1:9" s="55" customFormat="1" ht="57.75" customHeight="1" x14ac:dyDescent="0.25">
      <c r="A292" s="131"/>
      <c r="B292" s="136" t="s">
        <v>234</v>
      </c>
      <c r="C292" s="376" t="s">
        <v>299</v>
      </c>
      <c r="D292" s="58" t="s">
        <v>333</v>
      </c>
      <c r="E292" s="12"/>
      <c r="F292" s="77">
        <f>F293+F300</f>
        <v>31869</v>
      </c>
      <c r="G292" s="54"/>
      <c r="H292" s="54"/>
      <c r="I292" s="54"/>
    </row>
    <row r="293" spans="1:9" s="55" customFormat="1" ht="16.5" customHeight="1" x14ac:dyDescent="0.25">
      <c r="A293" s="131"/>
      <c r="B293" s="136" t="s">
        <v>234</v>
      </c>
      <c r="C293" s="376" t="s">
        <v>299</v>
      </c>
      <c r="D293" s="16" t="s">
        <v>193</v>
      </c>
      <c r="E293" s="12"/>
      <c r="F293" s="62">
        <f>SUM(F294:F299)-F297</f>
        <v>25975</v>
      </c>
      <c r="G293" s="54"/>
      <c r="H293" s="54"/>
      <c r="I293" s="54"/>
    </row>
    <row r="294" spans="1:9" s="55" customFormat="1" ht="30" x14ac:dyDescent="0.25">
      <c r="A294" s="131"/>
      <c r="B294" s="136" t="s">
        <v>234</v>
      </c>
      <c r="C294" s="376" t="s">
        <v>299</v>
      </c>
      <c r="D294" s="15" t="s">
        <v>334</v>
      </c>
      <c r="E294" s="12"/>
      <c r="F294" s="62">
        <v>22413</v>
      </c>
      <c r="G294" s="54"/>
      <c r="H294" s="54"/>
      <c r="I294" s="54"/>
    </row>
    <row r="295" spans="1:9" s="55" customFormat="1" ht="45" x14ac:dyDescent="0.25">
      <c r="A295" s="131"/>
      <c r="B295" s="136" t="s">
        <v>234</v>
      </c>
      <c r="C295" s="376" t="s">
        <v>299</v>
      </c>
      <c r="D295" s="15" t="s">
        <v>402</v>
      </c>
      <c r="E295" s="12"/>
      <c r="F295" s="77"/>
      <c r="G295" s="54"/>
      <c r="H295" s="54"/>
      <c r="I295" s="54"/>
    </row>
    <row r="296" spans="1:9" s="55" customFormat="1" ht="30" x14ac:dyDescent="0.25">
      <c r="A296" s="131"/>
      <c r="B296" s="136"/>
      <c r="C296" s="376"/>
      <c r="D296" s="15" t="s">
        <v>380</v>
      </c>
      <c r="E296" s="12"/>
      <c r="F296" s="77">
        <v>3562</v>
      </c>
      <c r="G296" s="54"/>
      <c r="H296" s="54"/>
      <c r="I296" s="54"/>
    </row>
    <row r="297" spans="1:9" s="55" customFormat="1" ht="30" x14ac:dyDescent="0.25">
      <c r="A297" s="131"/>
      <c r="B297" s="136"/>
      <c r="C297" s="376"/>
      <c r="D297" s="15" t="s">
        <v>381</v>
      </c>
      <c r="E297" s="12"/>
      <c r="F297" s="77"/>
      <c r="G297" s="54"/>
      <c r="H297" s="54"/>
      <c r="I297" s="54"/>
    </row>
    <row r="298" spans="1:9" s="55" customFormat="1" ht="30" x14ac:dyDescent="0.25">
      <c r="A298" s="131"/>
      <c r="B298" s="136" t="s">
        <v>234</v>
      </c>
      <c r="C298" s="376" t="s">
        <v>299</v>
      </c>
      <c r="D298" s="15" t="s">
        <v>382</v>
      </c>
      <c r="E298" s="12"/>
      <c r="F298" s="77"/>
      <c r="G298" s="54"/>
      <c r="H298" s="54"/>
      <c r="I298" s="54"/>
    </row>
    <row r="299" spans="1:9" s="55" customFormat="1" ht="30" x14ac:dyDescent="0.25">
      <c r="A299" s="131"/>
      <c r="B299" s="136" t="s">
        <v>234</v>
      </c>
      <c r="C299" s="376" t="s">
        <v>299</v>
      </c>
      <c r="D299" s="15" t="s">
        <v>383</v>
      </c>
      <c r="E299" s="12"/>
      <c r="F299" s="77"/>
      <c r="G299" s="54"/>
      <c r="H299" s="54"/>
      <c r="I299" s="54"/>
    </row>
    <row r="300" spans="1:9" s="55" customFormat="1" ht="30" x14ac:dyDescent="0.25">
      <c r="A300" s="131"/>
      <c r="B300" s="136" t="s">
        <v>234</v>
      </c>
      <c r="C300" s="376" t="s">
        <v>299</v>
      </c>
      <c r="D300" s="16" t="s">
        <v>194</v>
      </c>
      <c r="E300" s="12"/>
      <c r="F300" s="77">
        <f>SUM(F301:F303)</f>
        <v>5894</v>
      </c>
      <c r="G300" s="54"/>
      <c r="H300" s="54"/>
      <c r="I300" s="54"/>
    </row>
    <row r="301" spans="1:9" s="55" customFormat="1" ht="30" x14ac:dyDescent="0.25">
      <c r="A301" s="131">
        <v>1</v>
      </c>
      <c r="B301" s="136" t="s">
        <v>234</v>
      </c>
      <c r="C301" s="376" t="s">
        <v>299</v>
      </c>
      <c r="D301" s="15" t="s">
        <v>384</v>
      </c>
      <c r="E301" s="59"/>
      <c r="F301" s="54">
        <v>5894</v>
      </c>
      <c r="G301" s="54"/>
      <c r="H301" s="54"/>
      <c r="I301" s="54"/>
    </row>
    <row r="302" spans="1:9" s="55" customFormat="1" ht="45" x14ac:dyDescent="0.25">
      <c r="A302" s="131">
        <v>1</v>
      </c>
      <c r="B302" s="136" t="s">
        <v>234</v>
      </c>
      <c r="C302" s="376" t="s">
        <v>299</v>
      </c>
      <c r="D302" s="15" t="s">
        <v>385</v>
      </c>
      <c r="E302" s="59"/>
      <c r="F302" s="54"/>
      <c r="G302" s="54"/>
      <c r="H302" s="54"/>
      <c r="I302" s="54"/>
    </row>
    <row r="303" spans="1:9" s="55" customFormat="1" ht="45" x14ac:dyDescent="0.25">
      <c r="A303" s="131">
        <v>1</v>
      </c>
      <c r="B303" s="136" t="s">
        <v>234</v>
      </c>
      <c r="C303" s="376" t="s">
        <v>299</v>
      </c>
      <c r="D303" s="15" t="s">
        <v>386</v>
      </c>
      <c r="E303" s="59"/>
      <c r="F303" s="2"/>
      <c r="G303" s="54"/>
      <c r="H303" s="54"/>
      <c r="I303" s="54"/>
    </row>
    <row r="304" spans="1:9" s="55" customFormat="1" x14ac:dyDescent="0.25">
      <c r="A304" s="131">
        <v>1</v>
      </c>
      <c r="B304" s="136" t="s">
        <v>234</v>
      </c>
      <c r="C304" s="376" t="s">
        <v>299</v>
      </c>
      <c r="D304" s="14" t="s">
        <v>251</v>
      </c>
      <c r="E304" s="59"/>
      <c r="F304" s="29">
        <f>F306+F311+F310+F312+F313</f>
        <v>22724</v>
      </c>
      <c r="G304" s="54"/>
      <c r="H304" s="54"/>
      <c r="I304" s="54"/>
    </row>
    <row r="305" spans="1:9" s="55" customFormat="1" x14ac:dyDescent="0.25">
      <c r="A305" s="131">
        <v>1</v>
      </c>
      <c r="B305" s="136" t="s">
        <v>234</v>
      </c>
      <c r="C305" s="376" t="s">
        <v>299</v>
      </c>
      <c r="D305" s="15" t="s">
        <v>252</v>
      </c>
      <c r="E305" s="59"/>
      <c r="F305" s="2"/>
      <c r="G305" s="54"/>
      <c r="H305" s="54"/>
      <c r="I305" s="54"/>
    </row>
    <row r="306" spans="1:9" s="55" customFormat="1" ht="30" x14ac:dyDescent="0.25">
      <c r="A306" s="131">
        <v>1</v>
      </c>
      <c r="B306" s="136" t="s">
        <v>234</v>
      </c>
      <c r="C306" s="376" t="s">
        <v>299</v>
      </c>
      <c r="D306" s="16" t="s">
        <v>388</v>
      </c>
      <c r="E306" s="59"/>
      <c r="F306" s="10">
        <f>F307</f>
        <v>0</v>
      </c>
      <c r="G306" s="54"/>
      <c r="H306" s="54"/>
      <c r="I306" s="54"/>
    </row>
    <row r="307" spans="1:9" s="145" customFormat="1" x14ac:dyDescent="0.25">
      <c r="A307" s="131"/>
      <c r="B307" s="136" t="s">
        <v>234</v>
      </c>
      <c r="C307" s="376" t="s">
        <v>299</v>
      </c>
      <c r="D307" s="15" t="s">
        <v>389</v>
      </c>
      <c r="E307" s="13"/>
      <c r="F307" s="17"/>
      <c r="G307" s="10"/>
      <c r="H307" s="10"/>
      <c r="I307" s="10"/>
    </row>
    <row r="308" spans="1:9" s="145" customFormat="1" ht="30" x14ac:dyDescent="0.25">
      <c r="A308" s="131">
        <v>1</v>
      </c>
      <c r="B308" s="136" t="s">
        <v>234</v>
      </c>
      <c r="C308" s="376" t="s">
        <v>299</v>
      </c>
      <c r="D308" s="15" t="s">
        <v>390</v>
      </c>
      <c r="E308" s="13"/>
      <c r="F308" s="2"/>
      <c r="G308" s="2"/>
      <c r="H308" s="2"/>
      <c r="I308" s="2"/>
    </row>
    <row r="309" spans="1:9" s="55" customFormat="1" ht="45" x14ac:dyDescent="0.25">
      <c r="A309" s="131">
        <v>1</v>
      </c>
      <c r="B309" s="136" t="s">
        <v>234</v>
      </c>
      <c r="C309" s="376" t="s">
        <v>299</v>
      </c>
      <c r="D309" s="15" t="s">
        <v>391</v>
      </c>
      <c r="E309" s="277"/>
      <c r="F309" s="2"/>
      <c r="G309" s="54"/>
      <c r="H309" s="54"/>
      <c r="I309" s="54"/>
    </row>
    <row r="310" spans="1:9" s="55" customFormat="1" ht="45" x14ac:dyDescent="0.25">
      <c r="A310" s="131">
        <v>1</v>
      </c>
      <c r="B310" s="136" t="s">
        <v>234</v>
      </c>
      <c r="C310" s="376" t="s">
        <v>299</v>
      </c>
      <c r="D310" s="15" t="s">
        <v>392</v>
      </c>
      <c r="E310" s="13"/>
      <c r="F310" s="2"/>
      <c r="G310" s="62"/>
      <c r="H310" s="62"/>
      <c r="I310" s="62"/>
    </row>
    <row r="311" spans="1:9" s="55" customFormat="1" ht="45" x14ac:dyDescent="0.25">
      <c r="A311" s="131">
        <v>1</v>
      </c>
      <c r="B311" s="136" t="s">
        <v>234</v>
      </c>
      <c r="C311" s="376" t="s">
        <v>299</v>
      </c>
      <c r="D311" s="18" t="s">
        <v>393</v>
      </c>
      <c r="E311" s="13"/>
      <c r="F311" s="2">
        <v>12000</v>
      </c>
      <c r="G311" s="62"/>
      <c r="H311" s="62"/>
      <c r="I311" s="62"/>
    </row>
    <row r="312" spans="1:9" s="55" customFormat="1" ht="81.75" customHeight="1" x14ac:dyDescent="0.25">
      <c r="A312" s="51"/>
      <c r="B312" s="136"/>
      <c r="C312" s="376" t="s">
        <v>299</v>
      </c>
      <c r="D312" s="18" t="s">
        <v>394</v>
      </c>
      <c r="E312" s="13"/>
      <c r="F312" s="53">
        <v>4000</v>
      </c>
      <c r="G312" s="62"/>
      <c r="H312" s="62"/>
      <c r="I312" s="43"/>
    </row>
    <row r="313" spans="1:9" s="55" customFormat="1" ht="23.25" customHeight="1" x14ac:dyDescent="0.25">
      <c r="A313" s="51"/>
      <c r="B313" s="136"/>
      <c r="C313" s="376"/>
      <c r="D313" s="18" t="s">
        <v>395</v>
      </c>
      <c r="E313" s="13"/>
      <c r="F313" s="53">
        <v>6724</v>
      </c>
      <c r="G313" s="62"/>
      <c r="H313" s="62"/>
      <c r="I313" s="43"/>
    </row>
    <row r="314" spans="1:9" s="55" customFormat="1" x14ac:dyDescent="0.25">
      <c r="A314" s="131">
        <v>1</v>
      </c>
      <c r="B314" s="136" t="s">
        <v>234</v>
      </c>
      <c r="C314" s="376" t="s">
        <v>299</v>
      </c>
      <c r="D314" s="14" t="s">
        <v>253</v>
      </c>
      <c r="E314" s="13"/>
      <c r="F314" s="2">
        <f>F315</f>
        <v>500</v>
      </c>
      <c r="G314" s="62"/>
      <c r="H314" s="62"/>
      <c r="I314" s="62"/>
    </row>
    <row r="315" spans="1:9" s="55" customFormat="1" x14ac:dyDescent="0.25">
      <c r="A315" s="131">
        <v>1</v>
      </c>
      <c r="B315" s="136" t="s">
        <v>234</v>
      </c>
      <c r="C315" s="376" t="s">
        <v>299</v>
      </c>
      <c r="D315" s="14" t="s">
        <v>254</v>
      </c>
      <c r="E315" s="13"/>
      <c r="F315" s="54">
        <v>500</v>
      </c>
      <c r="G315" s="62"/>
      <c r="H315" s="62"/>
      <c r="I315" s="62"/>
    </row>
    <row r="316" spans="1:9" s="55" customFormat="1" x14ac:dyDescent="0.25">
      <c r="A316" s="131">
        <v>1</v>
      </c>
      <c r="B316" s="136" t="s">
        <v>234</v>
      </c>
      <c r="C316" s="376" t="s">
        <v>299</v>
      </c>
      <c r="D316" s="15" t="s">
        <v>255</v>
      </c>
      <c r="E316" s="13"/>
      <c r="F316" s="54"/>
      <c r="G316" s="62"/>
      <c r="H316" s="62"/>
      <c r="I316" s="62"/>
    </row>
    <row r="317" spans="1:9" s="55" customFormat="1" x14ac:dyDescent="0.25">
      <c r="A317" s="131">
        <v>1</v>
      </c>
      <c r="B317" s="136" t="s">
        <v>234</v>
      </c>
      <c r="C317" s="376" t="s">
        <v>299</v>
      </c>
      <c r="D317" s="42" t="s">
        <v>261</v>
      </c>
      <c r="E317" s="13"/>
      <c r="F317" s="54"/>
      <c r="G317" s="62"/>
      <c r="H317" s="62"/>
      <c r="I317" s="62"/>
    </row>
    <row r="318" spans="1:9" s="55" customFormat="1" ht="39" customHeight="1" x14ac:dyDescent="0.25">
      <c r="A318" s="131">
        <v>1</v>
      </c>
      <c r="B318" s="136" t="s">
        <v>234</v>
      </c>
      <c r="C318" s="376" t="s">
        <v>299</v>
      </c>
      <c r="D318" s="14" t="s">
        <v>256</v>
      </c>
      <c r="E318" s="13"/>
      <c r="F318" s="54">
        <v>24600</v>
      </c>
      <c r="G318" s="62"/>
      <c r="H318" s="62"/>
      <c r="I318" s="62"/>
    </row>
    <row r="319" spans="1:9" s="55" customFormat="1" x14ac:dyDescent="0.25">
      <c r="A319" s="131">
        <v>1</v>
      </c>
      <c r="B319" s="136" t="s">
        <v>234</v>
      </c>
      <c r="C319" s="376" t="s">
        <v>299</v>
      </c>
      <c r="D319" s="19" t="s">
        <v>117</v>
      </c>
      <c r="E319" s="13"/>
      <c r="F319" s="54">
        <v>11000</v>
      </c>
      <c r="G319" s="62"/>
      <c r="H319" s="62"/>
      <c r="I319" s="62"/>
    </row>
    <row r="320" spans="1:9" s="55" customFormat="1" ht="66" customHeight="1" x14ac:dyDescent="0.25">
      <c r="A320" s="131">
        <v>1</v>
      </c>
      <c r="B320" s="136" t="s">
        <v>234</v>
      </c>
      <c r="C320" s="376" t="s">
        <v>299</v>
      </c>
      <c r="D320" s="14" t="s">
        <v>257</v>
      </c>
      <c r="E320" s="13"/>
      <c r="F320" s="71">
        <v>13900</v>
      </c>
      <c r="G320" s="62"/>
      <c r="H320" s="62"/>
      <c r="I320" s="62"/>
    </row>
    <row r="321" spans="1:9" s="55" customFormat="1" x14ac:dyDescent="0.25">
      <c r="A321" s="131">
        <v>1</v>
      </c>
      <c r="B321" s="136" t="s">
        <v>234</v>
      </c>
      <c r="C321" s="376" t="s">
        <v>299</v>
      </c>
      <c r="D321" s="20" t="s">
        <v>165</v>
      </c>
      <c r="E321" s="13"/>
      <c r="F321" s="29">
        <f>SUM(F322:F330)</f>
        <v>16070</v>
      </c>
      <c r="G321" s="62"/>
      <c r="H321" s="62"/>
      <c r="I321" s="62"/>
    </row>
    <row r="322" spans="1:9" s="55" customFormat="1" x14ac:dyDescent="0.25">
      <c r="A322" s="131">
        <v>1</v>
      </c>
      <c r="B322" s="136" t="s">
        <v>234</v>
      </c>
      <c r="C322" s="376" t="s">
        <v>299</v>
      </c>
      <c r="D322" s="35" t="s">
        <v>17</v>
      </c>
      <c r="E322" s="13"/>
      <c r="F322" s="2">
        <v>3500</v>
      </c>
      <c r="G322" s="62"/>
      <c r="H322" s="62"/>
      <c r="I322" s="62"/>
    </row>
    <row r="323" spans="1:9" s="55" customFormat="1" ht="30" x14ac:dyDescent="0.25">
      <c r="A323" s="131">
        <v>1</v>
      </c>
      <c r="B323" s="136" t="s">
        <v>234</v>
      </c>
      <c r="C323" s="376" t="s">
        <v>299</v>
      </c>
      <c r="D323" s="32" t="s">
        <v>28</v>
      </c>
      <c r="E323" s="13"/>
      <c r="F323" s="369">
        <v>350</v>
      </c>
      <c r="G323" s="62"/>
      <c r="H323" s="62"/>
      <c r="I323" s="62"/>
    </row>
    <row r="324" spans="1:9" s="55" customFormat="1" x14ac:dyDescent="0.25">
      <c r="A324" s="131"/>
      <c r="B324" s="136"/>
      <c r="C324" s="376" t="s">
        <v>299</v>
      </c>
      <c r="D324" s="147" t="s">
        <v>282</v>
      </c>
      <c r="E324" s="13"/>
      <c r="F324" s="369"/>
      <c r="G324" s="62"/>
      <c r="H324" s="62"/>
      <c r="I324" s="62"/>
    </row>
    <row r="325" spans="1:9" s="55" customFormat="1" x14ac:dyDescent="0.25">
      <c r="A325" s="131"/>
      <c r="B325" s="136"/>
      <c r="C325" s="376"/>
      <c r="D325" s="147" t="s">
        <v>416</v>
      </c>
      <c r="E325" s="13"/>
      <c r="F325" s="369">
        <v>1500</v>
      </c>
      <c r="G325" s="62"/>
      <c r="H325" s="62"/>
      <c r="I325" s="62"/>
    </row>
    <row r="326" spans="1:9" s="55" customFormat="1" x14ac:dyDescent="0.25">
      <c r="A326" s="131">
        <v>1</v>
      </c>
      <c r="B326" s="136" t="s">
        <v>234</v>
      </c>
      <c r="C326" s="376" t="s">
        <v>299</v>
      </c>
      <c r="D326" s="32" t="s">
        <v>30</v>
      </c>
      <c r="E326" s="13"/>
      <c r="F326" s="369">
        <v>5420</v>
      </c>
      <c r="G326" s="62"/>
      <c r="H326" s="62"/>
      <c r="I326" s="62"/>
    </row>
    <row r="327" spans="1:9" s="55" customFormat="1" x14ac:dyDescent="0.25">
      <c r="A327" s="131">
        <v>1</v>
      </c>
      <c r="B327" s="136" t="s">
        <v>234</v>
      </c>
      <c r="C327" s="376" t="s">
        <v>299</v>
      </c>
      <c r="D327" s="32" t="s">
        <v>210</v>
      </c>
      <c r="E327" s="13"/>
      <c r="F327" s="2">
        <v>700</v>
      </c>
      <c r="G327" s="373"/>
      <c r="H327" s="373"/>
      <c r="I327" s="373"/>
    </row>
    <row r="328" spans="1:9" s="55" customFormat="1" ht="30" x14ac:dyDescent="0.25">
      <c r="A328" s="131">
        <v>1</v>
      </c>
      <c r="B328" s="136" t="s">
        <v>234</v>
      </c>
      <c r="C328" s="376" t="s">
        <v>299</v>
      </c>
      <c r="D328" s="32" t="s">
        <v>200</v>
      </c>
      <c r="E328" s="13"/>
      <c r="F328" s="227">
        <v>1700</v>
      </c>
      <c r="G328" s="373"/>
      <c r="H328" s="373"/>
      <c r="I328" s="373"/>
    </row>
    <row r="329" spans="1:9" s="55" customFormat="1" ht="30" x14ac:dyDescent="0.25">
      <c r="A329" s="131">
        <v>1</v>
      </c>
      <c r="B329" s="136" t="s">
        <v>234</v>
      </c>
      <c r="C329" s="376" t="s">
        <v>299</v>
      </c>
      <c r="D329" s="32" t="s">
        <v>199</v>
      </c>
      <c r="E329" s="13"/>
      <c r="F329" s="2">
        <v>500</v>
      </c>
      <c r="G329" s="373"/>
      <c r="H329" s="373"/>
      <c r="I329" s="373"/>
    </row>
    <row r="330" spans="1:9" s="55" customFormat="1" x14ac:dyDescent="0.25">
      <c r="A330" s="131">
        <v>1</v>
      </c>
      <c r="B330" s="136" t="s">
        <v>234</v>
      </c>
      <c r="C330" s="376" t="s">
        <v>299</v>
      </c>
      <c r="D330" s="32" t="s">
        <v>119</v>
      </c>
      <c r="E330" s="13"/>
      <c r="F330" s="227">
        <v>2400</v>
      </c>
      <c r="G330" s="373"/>
      <c r="H330" s="373"/>
      <c r="I330" s="373"/>
    </row>
    <row r="331" spans="1:9" s="55" customFormat="1" ht="43.5" x14ac:dyDescent="0.25">
      <c r="A331" s="131"/>
      <c r="B331" s="136"/>
      <c r="C331" s="376"/>
      <c r="D331" s="21" t="s">
        <v>396</v>
      </c>
      <c r="E331" s="13"/>
      <c r="F331" s="238">
        <f>F291</f>
        <v>23021</v>
      </c>
      <c r="G331" s="373"/>
      <c r="H331" s="373"/>
      <c r="I331" s="373"/>
    </row>
    <row r="332" spans="1:9" s="55" customFormat="1" x14ac:dyDescent="0.25">
      <c r="A332" s="131"/>
      <c r="B332" s="136" t="s">
        <v>234</v>
      </c>
      <c r="C332" s="376" t="s">
        <v>299</v>
      </c>
      <c r="D332" s="21" t="s">
        <v>195</v>
      </c>
      <c r="E332" s="13"/>
      <c r="F332" s="29">
        <f>F304+F280</f>
        <v>59874</v>
      </c>
      <c r="G332" s="373"/>
      <c r="H332" s="373"/>
      <c r="I332" s="373"/>
    </row>
    <row r="333" spans="1:9" s="55" customFormat="1" ht="29.25" x14ac:dyDescent="0.25">
      <c r="A333" s="131"/>
      <c r="B333" s="136" t="s">
        <v>234</v>
      </c>
      <c r="C333" s="376" t="s">
        <v>299</v>
      </c>
      <c r="D333" s="21" t="s">
        <v>196</v>
      </c>
      <c r="E333" s="13"/>
      <c r="F333" s="29">
        <f>F292</f>
        <v>31869</v>
      </c>
      <c r="G333" s="373"/>
      <c r="H333" s="373"/>
      <c r="I333" s="373"/>
    </row>
    <row r="334" spans="1:9" s="55" customFormat="1" x14ac:dyDescent="0.25">
      <c r="A334" s="131"/>
      <c r="B334" s="136" t="s">
        <v>234</v>
      </c>
      <c r="C334" s="376" t="s">
        <v>299</v>
      </c>
      <c r="D334" s="21" t="s">
        <v>197</v>
      </c>
      <c r="E334" s="13"/>
      <c r="F334" s="29">
        <f>F314+F286</f>
        <v>80510</v>
      </c>
      <c r="G334" s="373"/>
      <c r="H334" s="373"/>
      <c r="I334" s="373"/>
    </row>
    <row r="335" spans="1:9" s="55" customFormat="1" ht="29.25" x14ac:dyDescent="0.25">
      <c r="A335" s="131"/>
      <c r="B335" s="136" t="s">
        <v>234</v>
      </c>
      <c r="C335" s="376" t="s">
        <v>299</v>
      </c>
      <c r="D335" s="21" t="s">
        <v>198</v>
      </c>
      <c r="E335" s="13"/>
      <c r="F335" s="29">
        <f>F318+F320</f>
        <v>38500</v>
      </c>
      <c r="G335" s="373"/>
      <c r="H335" s="373"/>
      <c r="I335" s="373"/>
    </row>
    <row r="336" spans="1:9" s="55" customFormat="1" x14ac:dyDescent="0.25">
      <c r="A336" s="131"/>
      <c r="B336" s="136" t="s">
        <v>234</v>
      </c>
      <c r="C336" s="376" t="s">
        <v>299</v>
      </c>
      <c r="D336" s="22" t="s">
        <v>112</v>
      </c>
      <c r="E336" s="13"/>
      <c r="F336" s="29">
        <f>F332+F333+F335+(F286+F315)*2.6+F331*2.6</f>
        <v>399423.6</v>
      </c>
      <c r="G336" s="373"/>
      <c r="H336" s="373"/>
      <c r="I336" s="373"/>
    </row>
    <row r="337" spans="1:9" s="145" customFormat="1" ht="15.75" x14ac:dyDescent="0.25">
      <c r="A337" s="131">
        <v>1</v>
      </c>
      <c r="B337" s="136" t="s">
        <v>234</v>
      </c>
      <c r="C337" s="376" t="s">
        <v>299</v>
      </c>
      <c r="D337" s="23" t="s">
        <v>7</v>
      </c>
      <c r="E337" s="199"/>
      <c r="F337" s="2"/>
      <c r="G337" s="2"/>
      <c r="H337" s="2"/>
      <c r="I337" s="2"/>
    </row>
    <row r="338" spans="1:9" s="145" customFormat="1" x14ac:dyDescent="0.25">
      <c r="A338" s="131">
        <v>1</v>
      </c>
      <c r="B338" s="136" t="s">
        <v>234</v>
      </c>
      <c r="C338" s="376" t="s">
        <v>299</v>
      </c>
      <c r="D338" s="40" t="s">
        <v>93</v>
      </c>
      <c r="E338" s="199"/>
      <c r="F338" s="2"/>
      <c r="G338" s="2"/>
      <c r="H338" s="2"/>
      <c r="I338" s="2"/>
    </row>
    <row r="339" spans="1:9" s="145" customFormat="1" x14ac:dyDescent="0.25">
      <c r="A339" s="131">
        <v>1</v>
      </c>
      <c r="B339" s="136" t="s">
        <v>234</v>
      </c>
      <c r="C339" s="376" t="s">
        <v>299</v>
      </c>
      <c r="D339" s="1" t="s">
        <v>46</v>
      </c>
      <c r="E339" s="402">
        <v>300</v>
      </c>
      <c r="F339" s="2">
        <v>60</v>
      </c>
      <c r="G339" s="404">
        <v>10</v>
      </c>
      <c r="H339" s="2">
        <f>ROUND(I339/E339,0)</f>
        <v>2</v>
      </c>
      <c r="I339" s="2">
        <f>ROUND(F339*G339,0)</f>
        <v>600</v>
      </c>
    </row>
    <row r="340" spans="1:9" s="145" customFormat="1" x14ac:dyDescent="0.25">
      <c r="A340" s="131">
        <v>1</v>
      </c>
      <c r="B340" s="136" t="s">
        <v>234</v>
      </c>
      <c r="C340" s="376" t="s">
        <v>299</v>
      </c>
      <c r="D340" s="1" t="s">
        <v>19</v>
      </c>
      <c r="E340" s="402">
        <v>300</v>
      </c>
      <c r="F340" s="2">
        <f>97+60</f>
        <v>157</v>
      </c>
      <c r="G340" s="406">
        <v>9.5</v>
      </c>
      <c r="H340" s="2">
        <f>ROUND(I340/E340,0)</f>
        <v>5</v>
      </c>
      <c r="I340" s="2">
        <f>ROUND(F340*G340,0)</f>
        <v>1492</v>
      </c>
    </row>
    <row r="341" spans="1:9" s="145" customFormat="1" x14ac:dyDescent="0.25">
      <c r="A341" s="131">
        <v>1</v>
      </c>
      <c r="B341" s="136" t="s">
        <v>234</v>
      </c>
      <c r="C341" s="376" t="s">
        <v>299</v>
      </c>
      <c r="D341" s="1" t="s">
        <v>56</v>
      </c>
      <c r="E341" s="402">
        <v>300</v>
      </c>
      <c r="F341" s="2">
        <v>70</v>
      </c>
      <c r="G341" s="406">
        <v>11</v>
      </c>
      <c r="H341" s="2">
        <f>ROUND(I341/E341,0)</f>
        <v>3</v>
      </c>
      <c r="I341" s="2">
        <f>ROUND(F341*G341,0)</f>
        <v>770</v>
      </c>
    </row>
    <row r="342" spans="1:9" s="145" customFormat="1" x14ac:dyDescent="0.25">
      <c r="A342" s="131">
        <v>1</v>
      </c>
      <c r="B342" s="136" t="s">
        <v>234</v>
      </c>
      <c r="C342" s="376" t="s">
        <v>299</v>
      </c>
      <c r="D342" s="1" t="s">
        <v>10</v>
      </c>
      <c r="E342" s="402">
        <v>300</v>
      </c>
      <c r="F342" s="2">
        <v>55</v>
      </c>
      <c r="G342" s="406">
        <v>6.7</v>
      </c>
      <c r="H342" s="2">
        <f>ROUND(I342/E342,0)</f>
        <v>1</v>
      </c>
      <c r="I342" s="2">
        <f>ROUND(F342*G342,0)</f>
        <v>369</v>
      </c>
    </row>
    <row r="343" spans="1:9" s="145" customFormat="1" x14ac:dyDescent="0.25">
      <c r="A343" s="131"/>
      <c r="B343" s="136" t="s">
        <v>234</v>
      </c>
      <c r="C343" s="376" t="s">
        <v>299</v>
      </c>
      <c r="D343" s="1" t="s">
        <v>77</v>
      </c>
      <c r="E343" s="402">
        <v>300</v>
      </c>
      <c r="F343" s="2">
        <v>28</v>
      </c>
      <c r="G343" s="406">
        <v>7.4</v>
      </c>
      <c r="H343" s="2">
        <f>ROUND(I343/E343,0)</f>
        <v>1</v>
      </c>
      <c r="I343" s="2">
        <f>ROUND(F343*G343,0)</f>
        <v>207</v>
      </c>
    </row>
    <row r="344" spans="1:9" s="145" customFormat="1" x14ac:dyDescent="0.25">
      <c r="A344" s="131">
        <v>1</v>
      </c>
      <c r="B344" s="136" t="s">
        <v>234</v>
      </c>
      <c r="C344" s="376" t="s">
        <v>299</v>
      </c>
      <c r="D344" s="154" t="s">
        <v>9</v>
      </c>
      <c r="E344" s="403"/>
      <c r="F344" s="31">
        <f>SUM(F339:F343)</f>
        <v>370</v>
      </c>
      <c r="G344" s="158">
        <f>I344/F344</f>
        <v>9.2918918918918916</v>
      </c>
      <c r="H344" s="31">
        <f>SUM(H339:H343)</f>
        <v>12</v>
      </c>
      <c r="I344" s="31">
        <f>SUM(I339:I343)</f>
        <v>3438</v>
      </c>
    </row>
    <row r="345" spans="1:9" s="145" customFormat="1" x14ac:dyDescent="0.25">
      <c r="A345" s="131">
        <v>1</v>
      </c>
      <c r="B345" s="136" t="s">
        <v>234</v>
      </c>
      <c r="C345" s="376" t="s">
        <v>299</v>
      </c>
      <c r="D345" s="40" t="s">
        <v>71</v>
      </c>
      <c r="E345" s="403"/>
      <c r="F345" s="31"/>
      <c r="G345" s="36"/>
      <c r="H345" s="31"/>
      <c r="I345" s="31"/>
    </row>
    <row r="346" spans="1:9" s="145" customFormat="1" x14ac:dyDescent="0.25">
      <c r="A346" s="131">
        <v>1</v>
      </c>
      <c r="B346" s="136" t="s">
        <v>234</v>
      </c>
      <c r="C346" s="376" t="s">
        <v>299</v>
      </c>
      <c r="D346" s="407" t="s">
        <v>153</v>
      </c>
      <c r="E346" s="336">
        <v>240</v>
      </c>
      <c r="F346" s="2">
        <v>35</v>
      </c>
      <c r="G346" s="337">
        <v>8</v>
      </c>
      <c r="H346" s="2">
        <f t="shared" ref="H346:H352" si="10">ROUND(I346/E346,0)</f>
        <v>1</v>
      </c>
      <c r="I346" s="2">
        <f t="shared" ref="I346:I352" si="11">ROUND(F346*G346,0)</f>
        <v>280</v>
      </c>
    </row>
    <row r="347" spans="1:9" s="145" customFormat="1" x14ac:dyDescent="0.25">
      <c r="A347" s="131">
        <v>1</v>
      </c>
      <c r="B347" s="136" t="s">
        <v>234</v>
      </c>
      <c r="C347" s="376" t="s">
        <v>299</v>
      </c>
      <c r="D347" s="407" t="s">
        <v>180</v>
      </c>
      <c r="E347" s="336">
        <v>240</v>
      </c>
      <c r="F347" s="2">
        <v>850</v>
      </c>
      <c r="G347" s="337">
        <v>8</v>
      </c>
      <c r="H347" s="2">
        <f t="shared" si="10"/>
        <v>28</v>
      </c>
      <c r="I347" s="2">
        <f t="shared" si="11"/>
        <v>6800</v>
      </c>
    </row>
    <row r="348" spans="1:9" s="145" customFormat="1" x14ac:dyDescent="0.25">
      <c r="A348" s="131">
        <v>1</v>
      </c>
      <c r="B348" s="136" t="s">
        <v>234</v>
      </c>
      <c r="C348" s="376" t="s">
        <v>299</v>
      </c>
      <c r="D348" s="407" t="s">
        <v>181</v>
      </c>
      <c r="E348" s="336">
        <v>240</v>
      </c>
      <c r="F348" s="2">
        <v>550</v>
      </c>
      <c r="G348" s="337">
        <v>8</v>
      </c>
      <c r="H348" s="2">
        <f t="shared" si="10"/>
        <v>18</v>
      </c>
      <c r="I348" s="2">
        <f t="shared" si="11"/>
        <v>4400</v>
      </c>
    </row>
    <row r="349" spans="1:9" s="145" customFormat="1" x14ac:dyDescent="0.25">
      <c r="A349" s="131">
        <v>1</v>
      </c>
      <c r="B349" s="136" t="s">
        <v>234</v>
      </c>
      <c r="C349" s="376" t="s">
        <v>299</v>
      </c>
      <c r="D349" s="407" t="s">
        <v>178</v>
      </c>
      <c r="E349" s="336">
        <v>240</v>
      </c>
      <c r="F349" s="2">
        <v>270</v>
      </c>
      <c r="G349" s="337">
        <v>8</v>
      </c>
      <c r="H349" s="2">
        <f t="shared" si="10"/>
        <v>9</v>
      </c>
      <c r="I349" s="2">
        <f t="shared" si="11"/>
        <v>2160</v>
      </c>
    </row>
    <row r="350" spans="1:9" s="145" customFormat="1" x14ac:dyDescent="0.25">
      <c r="A350" s="131">
        <v>1</v>
      </c>
      <c r="B350" s="136" t="s">
        <v>234</v>
      </c>
      <c r="C350" s="376" t="s">
        <v>299</v>
      </c>
      <c r="D350" s="407" t="s">
        <v>179</v>
      </c>
      <c r="E350" s="336">
        <v>240</v>
      </c>
      <c r="F350" s="2">
        <v>500</v>
      </c>
      <c r="G350" s="337">
        <v>8</v>
      </c>
      <c r="H350" s="2">
        <f t="shared" si="10"/>
        <v>17</v>
      </c>
      <c r="I350" s="2">
        <f t="shared" si="11"/>
        <v>4000</v>
      </c>
    </row>
    <row r="351" spans="1:9" s="145" customFormat="1" x14ac:dyDescent="0.25">
      <c r="A351" s="131">
        <v>1</v>
      </c>
      <c r="B351" s="136" t="s">
        <v>234</v>
      </c>
      <c r="C351" s="376" t="s">
        <v>299</v>
      </c>
      <c r="D351" s="407" t="s">
        <v>182</v>
      </c>
      <c r="E351" s="336">
        <v>240</v>
      </c>
      <c r="F351" s="2">
        <v>45</v>
      </c>
      <c r="G351" s="337">
        <v>8</v>
      </c>
      <c r="H351" s="2">
        <f t="shared" si="10"/>
        <v>2</v>
      </c>
      <c r="I351" s="2">
        <f t="shared" si="11"/>
        <v>360</v>
      </c>
    </row>
    <row r="352" spans="1:9" s="145" customFormat="1" x14ac:dyDescent="0.25">
      <c r="A352" s="131">
        <v>1</v>
      </c>
      <c r="B352" s="136" t="s">
        <v>234</v>
      </c>
      <c r="C352" s="376" t="s">
        <v>299</v>
      </c>
      <c r="D352" s="407" t="s">
        <v>183</v>
      </c>
      <c r="E352" s="336">
        <v>240</v>
      </c>
      <c r="F352" s="2">
        <v>170</v>
      </c>
      <c r="G352" s="337">
        <v>8</v>
      </c>
      <c r="H352" s="2">
        <f t="shared" si="10"/>
        <v>6</v>
      </c>
      <c r="I352" s="2">
        <f t="shared" si="11"/>
        <v>1360</v>
      </c>
    </row>
    <row r="353" spans="1:35" s="145" customFormat="1" x14ac:dyDescent="0.25">
      <c r="A353" s="131">
        <v>1</v>
      </c>
      <c r="B353" s="136" t="s">
        <v>234</v>
      </c>
      <c r="C353" s="376" t="s">
        <v>299</v>
      </c>
      <c r="D353" s="154" t="s">
        <v>94</v>
      </c>
      <c r="E353" s="336"/>
      <c r="F353" s="31">
        <f>SUM(F346:F352)</f>
        <v>2420</v>
      </c>
      <c r="G353" s="392">
        <f>I353/F353</f>
        <v>8</v>
      </c>
      <c r="H353" s="31">
        <f>SUM(H346:H352)</f>
        <v>81</v>
      </c>
      <c r="I353" s="31">
        <f>SUM(I346:I352)</f>
        <v>19360</v>
      </c>
    </row>
    <row r="354" spans="1:35" s="145" customFormat="1" x14ac:dyDescent="0.25">
      <c r="A354" s="131">
        <v>1</v>
      </c>
      <c r="B354" s="136" t="s">
        <v>234</v>
      </c>
      <c r="C354" s="376" t="s">
        <v>299</v>
      </c>
      <c r="D354" s="65" t="s">
        <v>88</v>
      </c>
      <c r="E354" s="199"/>
      <c r="F354" s="29">
        <f>SUM(F353,F344)</f>
        <v>2790</v>
      </c>
      <c r="G354" s="158">
        <f>I354/F354</f>
        <v>8.1713261648745519</v>
      </c>
      <c r="H354" s="29">
        <f>H344+H353</f>
        <v>93</v>
      </c>
      <c r="I354" s="29">
        <f>I344+I353</f>
        <v>22798</v>
      </c>
    </row>
    <row r="355" spans="1:35" s="145" customFormat="1" x14ac:dyDescent="0.25">
      <c r="A355" s="131"/>
      <c r="B355" s="136" t="s">
        <v>234</v>
      </c>
      <c r="C355" s="376" t="s">
        <v>299</v>
      </c>
      <c r="D355" s="408"/>
      <c r="E355" s="199"/>
      <c r="F355" s="289"/>
      <c r="G355" s="165"/>
      <c r="H355" s="289"/>
      <c r="I355" s="289"/>
    </row>
    <row r="356" spans="1:35" s="145" customFormat="1" ht="30" x14ac:dyDescent="0.25">
      <c r="A356" s="131"/>
      <c r="B356" s="136" t="s">
        <v>234</v>
      </c>
      <c r="C356" s="376" t="s">
        <v>299</v>
      </c>
      <c r="D356" s="203" t="s">
        <v>276</v>
      </c>
      <c r="E356" s="399"/>
      <c r="F356" s="87"/>
      <c r="G356" s="161"/>
      <c r="H356" s="43"/>
      <c r="I356" s="43"/>
    </row>
    <row r="357" spans="1:35" s="145" customFormat="1" ht="32.25" customHeight="1" x14ac:dyDescent="0.25">
      <c r="A357" s="131"/>
      <c r="B357" s="136" t="s">
        <v>234</v>
      </c>
      <c r="C357" s="376" t="s">
        <v>299</v>
      </c>
      <c r="D357" s="409" t="s">
        <v>277</v>
      </c>
      <c r="E357" s="199"/>
      <c r="F357" s="87"/>
      <c r="G357" s="161"/>
      <c r="H357" s="289"/>
      <c r="I357" s="289"/>
    </row>
    <row r="358" spans="1:35" s="145" customFormat="1" ht="27" customHeight="1" x14ac:dyDescent="0.25">
      <c r="A358" s="131"/>
      <c r="B358" s="136" t="s">
        <v>234</v>
      </c>
      <c r="C358" s="376" t="s">
        <v>299</v>
      </c>
      <c r="D358" s="410" t="s">
        <v>278</v>
      </c>
      <c r="E358" s="199"/>
      <c r="F358" s="87"/>
      <c r="G358" s="161"/>
      <c r="H358" s="290"/>
      <c r="I358" s="290"/>
    </row>
    <row r="359" spans="1:35" s="145" customFormat="1" ht="61.5" customHeight="1" x14ac:dyDescent="0.25">
      <c r="A359" s="131"/>
      <c r="B359" s="136" t="s">
        <v>234</v>
      </c>
      <c r="C359" s="376" t="s">
        <v>299</v>
      </c>
      <c r="D359" s="203" t="s">
        <v>273</v>
      </c>
      <c r="E359" s="399"/>
      <c r="F359" s="369"/>
      <c r="G359" s="161"/>
      <c r="H359" s="43"/>
      <c r="I359" s="43"/>
    </row>
    <row r="360" spans="1:35" s="411" customFormat="1" x14ac:dyDescent="0.25">
      <c r="A360" s="131">
        <v>1</v>
      </c>
      <c r="B360" s="136" t="s">
        <v>234</v>
      </c>
      <c r="C360" s="376" t="s">
        <v>299</v>
      </c>
      <c r="D360" s="400" t="s">
        <v>213</v>
      </c>
      <c r="E360" s="401"/>
      <c r="F360" s="401"/>
      <c r="G360" s="401"/>
      <c r="H360" s="401"/>
      <c r="I360" s="401"/>
      <c r="J360" s="145"/>
      <c r="K360" s="145"/>
      <c r="L360" s="145"/>
      <c r="M360" s="145"/>
      <c r="N360" s="145"/>
      <c r="O360" s="145"/>
      <c r="P360" s="145"/>
      <c r="Q360" s="145"/>
      <c r="R360" s="145"/>
      <c r="S360" s="145"/>
      <c r="T360" s="145"/>
      <c r="U360" s="145"/>
      <c r="V360" s="145"/>
      <c r="W360" s="145"/>
      <c r="X360" s="145"/>
      <c r="Y360" s="145"/>
      <c r="Z360" s="145"/>
      <c r="AA360" s="145"/>
      <c r="AB360" s="145"/>
      <c r="AC360" s="145"/>
      <c r="AD360" s="145"/>
      <c r="AE360" s="145"/>
      <c r="AF360" s="145"/>
      <c r="AG360" s="145"/>
      <c r="AH360" s="145"/>
      <c r="AI360" s="145"/>
    </row>
    <row r="361" spans="1:35" hidden="1" x14ac:dyDescent="0.25">
      <c r="A361" s="131">
        <v>1</v>
      </c>
      <c r="C361" s="376" t="s">
        <v>299</v>
      </c>
      <c r="D361" s="640"/>
      <c r="E361" s="633"/>
      <c r="F361" s="2"/>
      <c r="G361" s="2"/>
      <c r="H361" s="2"/>
      <c r="I361" s="2"/>
      <c r="J361" s="145"/>
      <c r="K361" s="145"/>
      <c r="L361" s="145"/>
      <c r="M361" s="145"/>
      <c r="N361" s="145"/>
      <c r="O361" s="145"/>
      <c r="P361" s="145"/>
      <c r="Q361" s="145"/>
      <c r="R361" s="145"/>
      <c r="S361" s="145"/>
      <c r="T361" s="145"/>
      <c r="U361" s="145"/>
      <c r="V361" s="145"/>
      <c r="W361" s="145"/>
      <c r="X361" s="145"/>
      <c r="Y361" s="145"/>
      <c r="Z361" s="145"/>
      <c r="AA361" s="145"/>
      <c r="AB361" s="145"/>
      <c r="AC361" s="145"/>
      <c r="AD361" s="145"/>
      <c r="AE361" s="145"/>
      <c r="AF361" s="145"/>
      <c r="AG361" s="145"/>
      <c r="AH361" s="145"/>
      <c r="AI361" s="145"/>
    </row>
    <row r="362" spans="1:35" ht="31.5" hidden="1" x14ac:dyDescent="0.25">
      <c r="A362" s="131">
        <v>1</v>
      </c>
      <c r="B362" s="136" t="s">
        <v>235</v>
      </c>
      <c r="C362" s="376" t="s">
        <v>299</v>
      </c>
      <c r="D362" s="763" t="s">
        <v>317</v>
      </c>
      <c r="E362" s="398"/>
      <c r="F362" s="2"/>
      <c r="G362" s="2"/>
      <c r="H362" s="2"/>
      <c r="I362" s="2"/>
      <c r="J362" s="145"/>
      <c r="K362" s="145"/>
      <c r="L362" s="145"/>
      <c r="M362" s="145"/>
      <c r="N362" s="145"/>
      <c r="O362" s="145"/>
      <c r="P362" s="145"/>
      <c r="Q362" s="145"/>
      <c r="R362" s="145"/>
      <c r="S362" s="145"/>
      <c r="T362" s="145"/>
      <c r="U362" s="145"/>
      <c r="V362" s="145"/>
      <c r="W362" s="145"/>
      <c r="X362" s="145"/>
      <c r="Y362" s="145"/>
      <c r="Z362" s="145"/>
      <c r="AA362" s="145"/>
      <c r="AB362" s="145"/>
      <c r="AC362" s="145"/>
      <c r="AD362" s="145"/>
      <c r="AE362" s="145"/>
      <c r="AF362" s="145"/>
      <c r="AG362" s="145"/>
      <c r="AH362" s="145"/>
      <c r="AI362" s="145"/>
    </row>
    <row r="363" spans="1:35" hidden="1" x14ac:dyDescent="0.25">
      <c r="A363" s="131">
        <v>1</v>
      </c>
      <c r="B363" s="136" t="s">
        <v>235</v>
      </c>
      <c r="C363" s="376" t="s">
        <v>299</v>
      </c>
      <c r="D363" s="137" t="s">
        <v>4</v>
      </c>
      <c r="E363" s="398"/>
      <c r="F363" s="2"/>
      <c r="G363" s="2"/>
      <c r="H363" s="2"/>
      <c r="I363" s="2"/>
      <c r="J363" s="145"/>
      <c r="K363" s="145"/>
      <c r="L363" s="145"/>
      <c r="M363" s="145"/>
      <c r="N363" s="145"/>
      <c r="O363" s="145"/>
      <c r="P363" s="145"/>
      <c r="Q363" s="145"/>
      <c r="R363" s="145"/>
      <c r="S363" s="145"/>
      <c r="T363" s="145"/>
      <c r="U363" s="145"/>
      <c r="V363" s="145"/>
      <c r="W363" s="145"/>
      <c r="X363" s="145"/>
      <c r="Y363" s="145"/>
      <c r="Z363" s="145"/>
      <c r="AA363" s="145"/>
      <c r="AB363" s="145"/>
      <c r="AC363" s="145"/>
      <c r="AD363" s="145"/>
      <c r="AE363" s="145"/>
      <c r="AF363" s="145"/>
      <c r="AG363" s="145"/>
      <c r="AH363" s="145"/>
      <c r="AI363" s="145"/>
    </row>
    <row r="364" spans="1:35" hidden="1" x14ac:dyDescent="0.25">
      <c r="A364" s="131">
        <v>1</v>
      </c>
      <c r="B364" s="136" t="s">
        <v>235</v>
      </c>
      <c r="C364" s="376" t="s">
        <v>299</v>
      </c>
      <c r="D364" s="141" t="s">
        <v>49</v>
      </c>
      <c r="E364" s="336">
        <v>340</v>
      </c>
      <c r="F364" s="2">
        <v>5260</v>
      </c>
      <c r="G364" s="337">
        <v>6.1</v>
      </c>
      <c r="H364" s="2">
        <f>ROUND(I364/E364,0)</f>
        <v>94</v>
      </c>
      <c r="I364" s="2">
        <f>ROUND(F364*G364,0)</f>
        <v>32086</v>
      </c>
      <c r="J364" s="145"/>
      <c r="K364" s="145"/>
      <c r="L364" s="145"/>
      <c r="M364" s="145"/>
      <c r="N364" s="145"/>
      <c r="O364" s="145"/>
      <c r="P364" s="145"/>
      <c r="Q364" s="145"/>
      <c r="R364" s="145"/>
      <c r="S364" s="145"/>
      <c r="T364" s="145"/>
      <c r="U364" s="145"/>
      <c r="V364" s="145"/>
      <c r="W364" s="145"/>
      <c r="X364" s="145"/>
      <c r="Y364" s="145"/>
      <c r="Z364" s="145"/>
      <c r="AA364" s="145"/>
      <c r="AB364" s="145"/>
      <c r="AC364" s="145"/>
      <c r="AD364" s="145"/>
      <c r="AE364" s="145"/>
      <c r="AF364" s="145"/>
      <c r="AG364" s="145"/>
      <c r="AH364" s="145"/>
      <c r="AI364" s="145"/>
    </row>
    <row r="365" spans="1:35" hidden="1" x14ac:dyDescent="0.25">
      <c r="A365" s="131">
        <v>1</v>
      </c>
      <c r="B365" s="136" t="s">
        <v>235</v>
      </c>
      <c r="C365" s="376" t="s">
        <v>299</v>
      </c>
      <c r="D365" s="141" t="s">
        <v>47</v>
      </c>
      <c r="E365" s="336">
        <v>300</v>
      </c>
      <c r="F365" s="2">
        <v>1134</v>
      </c>
      <c r="G365" s="337">
        <v>5.7</v>
      </c>
      <c r="H365" s="2">
        <f>ROUND(I365/E365,0)</f>
        <v>22</v>
      </c>
      <c r="I365" s="2">
        <f>ROUND(F365*G365,0)</f>
        <v>6464</v>
      </c>
      <c r="J365" s="145"/>
      <c r="K365" s="145"/>
      <c r="L365" s="145"/>
      <c r="M365" s="145"/>
      <c r="N365" s="145"/>
      <c r="O365" s="145"/>
      <c r="P365" s="145"/>
      <c r="Q365" s="145"/>
      <c r="R365" s="145"/>
      <c r="S365" s="145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45"/>
      <c r="AD365" s="145"/>
      <c r="AE365" s="145"/>
      <c r="AF365" s="145"/>
      <c r="AG365" s="145"/>
      <c r="AH365" s="145"/>
      <c r="AI365" s="145"/>
    </row>
    <row r="366" spans="1:35" hidden="1" x14ac:dyDescent="0.25">
      <c r="A366" s="131">
        <v>1</v>
      </c>
      <c r="B366" s="136" t="s">
        <v>235</v>
      </c>
      <c r="C366" s="376" t="s">
        <v>299</v>
      </c>
      <c r="D366" s="141" t="s">
        <v>48</v>
      </c>
      <c r="E366" s="336">
        <v>340</v>
      </c>
      <c r="F366" s="2">
        <v>1451</v>
      </c>
      <c r="G366" s="337">
        <v>8</v>
      </c>
      <c r="H366" s="2">
        <f>ROUND(I366/E366,0)</f>
        <v>34</v>
      </c>
      <c r="I366" s="2">
        <f>ROUND(F366*G366,0)</f>
        <v>11608</v>
      </c>
      <c r="J366" s="145"/>
      <c r="K366" s="145"/>
      <c r="L366" s="145"/>
      <c r="M366" s="145"/>
      <c r="N366" s="145"/>
      <c r="O366" s="145"/>
      <c r="P366" s="145"/>
      <c r="Q366" s="145"/>
      <c r="R366" s="145"/>
      <c r="S366" s="145"/>
      <c r="T366" s="145"/>
      <c r="U366" s="145"/>
      <c r="V366" s="145"/>
      <c r="W366" s="145"/>
      <c r="X366" s="145"/>
      <c r="Y366" s="145"/>
      <c r="Z366" s="145"/>
      <c r="AA366" s="145"/>
      <c r="AB366" s="145"/>
      <c r="AC366" s="145"/>
      <c r="AD366" s="145"/>
      <c r="AE366" s="145"/>
      <c r="AF366" s="145"/>
      <c r="AG366" s="145"/>
      <c r="AH366" s="145"/>
      <c r="AI366" s="145"/>
    </row>
    <row r="367" spans="1:35" s="145" customFormat="1" hidden="1" x14ac:dyDescent="0.25">
      <c r="A367" s="131">
        <v>1</v>
      </c>
      <c r="B367" s="136" t="s">
        <v>235</v>
      </c>
      <c r="C367" s="376" t="s">
        <v>299</v>
      </c>
      <c r="D367" s="390" t="s">
        <v>5</v>
      </c>
      <c r="E367" s="199"/>
      <c r="F367" s="29">
        <f>SUM(F364:F366)</f>
        <v>7845</v>
      </c>
      <c r="G367" s="158">
        <f>I367/F367</f>
        <v>6.393626513702996</v>
      </c>
      <c r="H367" s="29">
        <f t="shared" ref="H367:I367" si="12">SUM(H364:H366)</f>
        <v>150</v>
      </c>
      <c r="I367" s="29">
        <f t="shared" si="12"/>
        <v>50158</v>
      </c>
    </row>
    <row r="368" spans="1:35" s="145" customFormat="1" hidden="1" x14ac:dyDescent="0.25">
      <c r="A368" s="131">
        <v>1</v>
      </c>
      <c r="B368" s="136" t="s">
        <v>235</v>
      </c>
      <c r="C368" s="376" t="s">
        <v>299</v>
      </c>
      <c r="D368" s="12" t="s">
        <v>111</v>
      </c>
      <c r="E368" s="41"/>
      <c r="F368" s="29"/>
      <c r="G368" s="2"/>
      <c r="H368" s="2"/>
      <c r="I368" s="2"/>
    </row>
    <row r="369" spans="1:9" s="145" customFormat="1" hidden="1" x14ac:dyDescent="0.25">
      <c r="A369" s="131"/>
      <c r="B369" s="136" t="s">
        <v>235</v>
      </c>
      <c r="C369" s="376" t="s">
        <v>299</v>
      </c>
      <c r="D369" s="264" t="s">
        <v>251</v>
      </c>
      <c r="E369" s="41"/>
      <c r="F369" s="29">
        <f>F371+F376+F375</f>
        <v>66100</v>
      </c>
      <c r="G369" s="2"/>
      <c r="H369" s="2"/>
      <c r="I369" s="2"/>
    </row>
    <row r="370" spans="1:9" s="145" customFormat="1" hidden="1" x14ac:dyDescent="0.25">
      <c r="A370" s="131"/>
      <c r="B370" s="136" t="s">
        <v>235</v>
      </c>
      <c r="C370" s="376" t="s">
        <v>299</v>
      </c>
      <c r="D370" s="15" t="s">
        <v>252</v>
      </c>
      <c r="E370" s="41"/>
      <c r="F370" s="29"/>
      <c r="G370" s="2"/>
      <c r="H370" s="2"/>
      <c r="I370" s="2"/>
    </row>
    <row r="371" spans="1:9" s="145" customFormat="1" ht="30" hidden="1" x14ac:dyDescent="0.25">
      <c r="A371" s="131"/>
      <c r="B371" s="136" t="s">
        <v>235</v>
      </c>
      <c r="C371" s="376" t="s">
        <v>299</v>
      </c>
      <c r="D371" s="16" t="s">
        <v>388</v>
      </c>
      <c r="E371" s="41"/>
      <c r="F371" s="29">
        <f>F372</f>
        <v>62600</v>
      </c>
      <c r="G371" s="2"/>
      <c r="H371" s="2"/>
      <c r="I371" s="2"/>
    </row>
    <row r="372" spans="1:9" s="145" customFormat="1" hidden="1" x14ac:dyDescent="0.25">
      <c r="A372" s="131"/>
      <c r="B372" s="136" t="s">
        <v>235</v>
      </c>
      <c r="C372" s="376" t="s">
        <v>299</v>
      </c>
      <c r="D372" s="15" t="s">
        <v>389</v>
      </c>
      <c r="E372" s="13"/>
      <c r="F372" s="17">
        <v>62600</v>
      </c>
      <c r="G372" s="10"/>
      <c r="H372" s="10"/>
      <c r="I372" s="10"/>
    </row>
    <row r="373" spans="1:9" s="145" customFormat="1" ht="30" hidden="1" x14ac:dyDescent="0.25">
      <c r="A373" s="131"/>
      <c r="B373" s="136" t="s">
        <v>235</v>
      </c>
      <c r="C373" s="376" t="s">
        <v>299</v>
      </c>
      <c r="D373" s="15" t="s">
        <v>390</v>
      </c>
      <c r="E373" s="41"/>
      <c r="F373" s="29"/>
      <c r="G373" s="2"/>
      <c r="H373" s="2"/>
      <c r="I373" s="2"/>
    </row>
    <row r="374" spans="1:9" s="145" customFormat="1" ht="45" hidden="1" x14ac:dyDescent="0.25">
      <c r="A374" s="131"/>
      <c r="B374" s="136" t="s">
        <v>235</v>
      </c>
      <c r="C374" s="376" t="s">
        <v>299</v>
      </c>
      <c r="D374" s="15" t="s">
        <v>391</v>
      </c>
      <c r="E374" s="41"/>
      <c r="F374" s="29"/>
      <c r="G374" s="2"/>
      <c r="H374" s="2"/>
      <c r="I374" s="2"/>
    </row>
    <row r="375" spans="1:9" s="145" customFormat="1" ht="45" hidden="1" x14ac:dyDescent="0.25">
      <c r="A375" s="131"/>
      <c r="B375" s="136" t="s">
        <v>235</v>
      </c>
      <c r="C375" s="376" t="s">
        <v>299</v>
      </c>
      <c r="D375" s="15" t="s">
        <v>392</v>
      </c>
      <c r="E375" s="41"/>
      <c r="F375" s="29"/>
      <c r="G375" s="2"/>
      <c r="H375" s="2"/>
      <c r="I375" s="2"/>
    </row>
    <row r="376" spans="1:9" s="145" customFormat="1" ht="45" hidden="1" x14ac:dyDescent="0.25">
      <c r="A376" s="131"/>
      <c r="B376" s="136" t="s">
        <v>235</v>
      </c>
      <c r="C376" s="376" t="s">
        <v>299</v>
      </c>
      <c r="D376" s="18" t="s">
        <v>393</v>
      </c>
      <c r="E376" s="41"/>
      <c r="F376" s="2">
        <v>3500</v>
      </c>
      <c r="G376" s="2"/>
      <c r="H376" s="2"/>
      <c r="I376" s="2"/>
    </row>
    <row r="377" spans="1:9" s="145" customFormat="1" hidden="1" x14ac:dyDescent="0.25">
      <c r="A377" s="131"/>
      <c r="B377" s="136" t="s">
        <v>235</v>
      </c>
      <c r="C377" s="376" t="s">
        <v>299</v>
      </c>
      <c r="D377" s="14" t="s">
        <v>253</v>
      </c>
      <c r="E377" s="41"/>
      <c r="F377" s="2">
        <f>F378</f>
        <v>21000</v>
      </c>
      <c r="G377" s="2"/>
      <c r="H377" s="2"/>
      <c r="I377" s="2"/>
    </row>
    <row r="378" spans="1:9" s="145" customFormat="1" hidden="1" x14ac:dyDescent="0.25">
      <c r="A378" s="131"/>
      <c r="B378" s="136" t="s">
        <v>235</v>
      </c>
      <c r="C378" s="376" t="s">
        <v>299</v>
      </c>
      <c r="D378" s="15" t="s">
        <v>265</v>
      </c>
      <c r="E378" s="41"/>
      <c r="F378" s="2">
        <v>21000</v>
      </c>
      <c r="G378" s="2"/>
      <c r="H378" s="2"/>
      <c r="I378" s="2"/>
    </row>
    <row r="379" spans="1:9" s="145" customFormat="1" hidden="1" x14ac:dyDescent="0.25">
      <c r="A379" s="131"/>
      <c r="B379" s="136" t="s">
        <v>235</v>
      </c>
      <c r="C379" s="376" t="s">
        <v>299</v>
      </c>
      <c r="D379" s="15" t="s">
        <v>255</v>
      </c>
      <c r="E379" s="41"/>
      <c r="F379" s="29"/>
      <c r="G379" s="2"/>
      <c r="H379" s="2"/>
      <c r="I379" s="2"/>
    </row>
    <row r="380" spans="1:9" s="145" customFormat="1" ht="29.25" hidden="1" x14ac:dyDescent="0.25">
      <c r="A380" s="131"/>
      <c r="B380" s="136" t="s">
        <v>235</v>
      </c>
      <c r="C380" s="376" t="s">
        <v>299</v>
      </c>
      <c r="D380" s="14" t="s">
        <v>256</v>
      </c>
      <c r="E380" s="41"/>
      <c r="F380" s="2"/>
      <c r="G380" s="2"/>
      <c r="H380" s="2"/>
      <c r="I380" s="2"/>
    </row>
    <row r="381" spans="1:9" s="145" customFormat="1" hidden="1" x14ac:dyDescent="0.25">
      <c r="A381" s="131"/>
      <c r="B381" s="136" t="s">
        <v>235</v>
      </c>
      <c r="C381" s="376" t="s">
        <v>299</v>
      </c>
      <c r="D381" s="19" t="s">
        <v>117</v>
      </c>
      <c r="E381" s="41"/>
      <c r="F381" s="29"/>
      <c r="G381" s="2"/>
      <c r="H381" s="2"/>
      <c r="I381" s="2"/>
    </row>
    <row r="382" spans="1:9" s="145" customFormat="1" ht="57.75" hidden="1" x14ac:dyDescent="0.25">
      <c r="A382" s="131">
        <v>1</v>
      </c>
      <c r="B382" s="136" t="s">
        <v>235</v>
      </c>
      <c r="C382" s="376" t="s">
        <v>299</v>
      </c>
      <c r="D382" s="14" t="s">
        <v>257</v>
      </c>
      <c r="E382" s="41"/>
      <c r="F382" s="2">
        <v>600</v>
      </c>
      <c r="G382" s="2"/>
      <c r="H382" s="2"/>
      <c r="I382" s="2"/>
    </row>
    <row r="383" spans="1:9" s="145" customFormat="1" hidden="1" x14ac:dyDescent="0.25">
      <c r="A383" s="131">
        <v>1</v>
      </c>
      <c r="B383" s="136" t="s">
        <v>235</v>
      </c>
      <c r="C383" s="376" t="s">
        <v>299</v>
      </c>
      <c r="D383" s="20" t="s">
        <v>165</v>
      </c>
      <c r="E383" s="13"/>
      <c r="F383" s="31">
        <f>SUM(F384:F389)</f>
        <v>6362</v>
      </c>
      <c r="G383" s="2"/>
      <c r="H383" s="2"/>
      <c r="I383" s="2"/>
    </row>
    <row r="384" spans="1:9" s="145" customFormat="1" ht="60" hidden="1" x14ac:dyDescent="0.25">
      <c r="A384" s="131">
        <v>1</v>
      </c>
      <c r="B384" s="136" t="s">
        <v>235</v>
      </c>
      <c r="C384" s="376" t="s">
        <v>299</v>
      </c>
      <c r="D384" s="641" t="s">
        <v>154</v>
      </c>
      <c r="E384" s="13"/>
      <c r="F384" s="2">
        <v>550</v>
      </c>
      <c r="G384" s="2"/>
      <c r="H384" s="2"/>
      <c r="I384" s="2"/>
    </row>
    <row r="385" spans="1:9" s="145" customFormat="1" ht="75" hidden="1" x14ac:dyDescent="0.25">
      <c r="A385" s="131">
        <v>1</v>
      </c>
      <c r="B385" s="136" t="s">
        <v>235</v>
      </c>
      <c r="C385" s="376" t="s">
        <v>299</v>
      </c>
      <c r="D385" s="641" t="s">
        <v>288</v>
      </c>
      <c r="E385" s="13"/>
      <c r="F385" s="2">
        <v>100</v>
      </c>
      <c r="G385" s="2"/>
      <c r="H385" s="2"/>
      <c r="I385" s="2"/>
    </row>
    <row r="386" spans="1:9" s="145" customFormat="1" ht="60" hidden="1" x14ac:dyDescent="0.25">
      <c r="A386" s="131"/>
      <c r="B386" s="136"/>
      <c r="C386" s="376" t="s">
        <v>299</v>
      </c>
      <c r="D386" s="641" t="s">
        <v>168</v>
      </c>
      <c r="E386" s="13"/>
      <c r="F386" s="2">
        <v>50</v>
      </c>
      <c r="G386" s="2"/>
      <c r="H386" s="2"/>
      <c r="I386" s="2"/>
    </row>
    <row r="387" spans="1:9" s="145" customFormat="1" ht="60" hidden="1" x14ac:dyDescent="0.25">
      <c r="A387" s="131"/>
      <c r="B387" s="136"/>
      <c r="C387" s="376" t="s">
        <v>299</v>
      </c>
      <c r="D387" s="641" t="s">
        <v>248</v>
      </c>
      <c r="E387" s="13"/>
      <c r="F387" s="2">
        <v>3500</v>
      </c>
      <c r="G387" s="2"/>
      <c r="H387" s="2"/>
      <c r="I387" s="2"/>
    </row>
    <row r="388" spans="1:9" s="145" customFormat="1" ht="45" hidden="1" x14ac:dyDescent="0.25">
      <c r="A388" s="131"/>
      <c r="B388" s="136"/>
      <c r="C388" s="376" t="s">
        <v>299</v>
      </c>
      <c r="D388" s="641" t="s">
        <v>292</v>
      </c>
      <c r="E388" s="13"/>
      <c r="F388" s="2">
        <v>362</v>
      </c>
      <c r="G388" s="2"/>
      <c r="H388" s="2"/>
      <c r="I388" s="2"/>
    </row>
    <row r="389" spans="1:9" s="145" customFormat="1" ht="45" hidden="1" x14ac:dyDescent="0.25">
      <c r="A389" s="131"/>
      <c r="B389" s="136"/>
      <c r="C389" s="376" t="s">
        <v>299</v>
      </c>
      <c r="D389" s="641" t="s">
        <v>283</v>
      </c>
      <c r="E389" s="13"/>
      <c r="F389" s="2">
        <v>1800</v>
      </c>
      <c r="G389" s="2"/>
      <c r="H389" s="2"/>
      <c r="I389" s="2"/>
    </row>
    <row r="390" spans="1:9" s="145" customFormat="1" hidden="1" x14ac:dyDescent="0.25">
      <c r="A390" s="131"/>
      <c r="B390" s="136" t="s">
        <v>235</v>
      </c>
      <c r="C390" s="376" t="s">
        <v>299</v>
      </c>
      <c r="D390" s="21" t="s">
        <v>195</v>
      </c>
      <c r="E390" s="13"/>
      <c r="F390" s="29">
        <f>F369</f>
        <v>66100</v>
      </c>
      <c r="G390" s="2"/>
      <c r="H390" s="2"/>
      <c r="I390" s="2"/>
    </row>
    <row r="391" spans="1:9" s="145" customFormat="1" ht="29.25" hidden="1" x14ac:dyDescent="0.25">
      <c r="A391" s="131"/>
      <c r="B391" s="136" t="s">
        <v>235</v>
      </c>
      <c r="C391" s="376" t="s">
        <v>299</v>
      </c>
      <c r="D391" s="21" t="s">
        <v>196</v>
      </c>
      <c r="E391" s="13"/>
      <c r="F391" s="29"/>
      <c r="G391" s="2"/>
      <c r="H391" s="2"/>
      <c r="I391" s="2"/>
    </row>
    <row r="392" spans="1:9" s="145" customFormat="1" hidden="1" x14ac:dyDescent="0.25">
      <c r="A392" s="131"/>
      <c r="B392" s="136" t="s">
        <v>235</v>
      </c>
      <c r="C392" s="376" t="s">
        <v>299</v>
      </c>
      <c r="D392" s="21" t="s">
        <v>197</v>
      </c>
      <c r="E392" s="13"/>
      <c r="F392" s="29">
        <f>F377</f>
        <v>21000</v>
      </c>
      <c r="G392" s="2"/>
      <c r="H392" s="2"/>
      <c r="I392" s="2"/>
    </row>
    <row r="393" spans="1:9" s="145" customFormat="1" ht="29.25" hidden="1" x14ac:dyDescent="0.25">
      <c r="A393" s="131"/>
      <c r="B393" s="136" t="s">
        <v>235</v>
      </c>
      <c r="C393" s="376" t="s">
        <v>299</v>
      </c>
      <c r="D393" s="21" t="s">
        <v>198</v>
      </c>
      <c r="E393" s="13"/>
      <c r="F393" s="29">
        <f>F380+F382</f>
        <v>600</v>
      </c>
      <c r="G393" s="2"/>
      <c r="H393" s="2"/>
      <c r="I393" s="2"/>
    </row>
    <row r="394" spans="1:9" s="145" customFormat="1" hidden="1" x14ac:dyDescent="0.25">
      <c r="A394" s="131"/>
      <c r="B394" s="136" t="s">
        <v>235</v>
      </c>
      <c r="C394" s="376" t="s">
        <v>299</v>
      </c>
      <c r="D394" s="22" t="s">
        <v>112</v>
      </c>
      <c r="E394" s="13"/>
      <c r="F394" s="29">
        <f>F390+F391+F378*2.6+F393</f>
        <v>121300</v>
      </c>
      <c r="G394" s="2"/>
      <c r="H394" s="2"/>
      <c r="I394" s="2"/>
    </row>
    <row r="395" spans="1:9" s="145" customFormat="1" hidden="1" x14ac:dyDescent="0.25">
      <c r="A395" s="131">
        <v>1</v>
      </c>
      <c r="B395" s="136" t="s">
        <v>235</v>
      </c>
      <c r="C395" s="376" t="s">
        <v>299</v>
      </c>
      <c r="D395" s="30" t="s">
        <v>7</v>
      </c>
      <c r="E395" s="144"/>
      <c r="F395" s="10"/>
      <c r="G395" s="2"/>
      <c r="H395" s="2"/>
      <c r="I395" s="2"/>
    </row>
    <row r="396" spans="1:9" s="145" customFormat="1" hidden="1" x14ac:dyDescent="0.25">
      <c r="A396" s="131">
        <v>1</v>
      </c>
      <c r="B396" s="136" t="s">
        <v>235</v>
      </c>
      <c r="C396" s="376" t="s">
        <v>299</v>
      </c>
      <c r="D396" s="40" t="s">
        <v>71</v>
      </c>
      <c r="E396" s="199"/>
      <c r="F396" s="2"/>
      <c r="G396" s="2"/>
      <c r="H396" s="2"/>
      <c r="I396" s="2"/>
    </row>
    <row r="397" spans="1:9" s="145" customFormat="1" hidden="1" x14ac:dyDescent="0.25">
      <c r="A397" s="131">
        <v>1</v>
      </c>
      <c r="B397" s="136" t="s">
        <v>235</v>
      </c>
      <c r="C397" s="376" t="s">
        <v>299</v>
      </c>
      <c r="D397" s="141" t="s">
        <v>49</v>
      </c>
      <c r="E397" s="336">
        <v>240</v>
      </c>
      <c r="F397" s="2">
        <v>113</v>
      </c>
      <c r="G397" s="337">
        <v>4</v>
      </c>
      <c r="H397" s="2">
        <f>ROUND(I397/E397,0)</f>
        <v>2</v>
      </c>
      <c r="I397" s="2">
        <f>ROUND(F397*G397,0)</f>
        <v>452</v>
      </c>
    </row>
    <row r="398" spans="1:9" s="145" customFormat="1" hidden="1" x14ac:dyDescent="0.25">
      <c r="A398" s="131">
        <v>1</v>
      </c>
      <c r="B398" s="136" t="s">
        <v>235</v>
      </c>
      <c r="C398" s="376" t="s">
        <v>299</v>
      </c>
      <c r="D398" s="141" t="s">
        <v>48</v>
      </c>
      <c r="E398" s="336">
        <v>240</v>
      </c>
      <c r="F398" s="2">
        <v>370</v>
      </c>
      <c r="G398" s="337">
        <v>9.5</v>
      </c>
      <c r="H398" s="2">
        <f>ROUND(I398/E398,0)</f>
        <v>15</v>
      </c>
      <c r="I398" s="2">
        <f>ROUND(F398*G398,0)</f>
        <v>3515</v>
      </c>
    </row>
    <row r="399" spans="1:9" s="145" customFormat="1" hidden="1" x14ac:dyDescent="0.25">
      <c r="A399" s="131">
        <v>1</v>
      </c>
      <c r="B399" s="136" t="s">
        <v>235</v>
      </c>
      <c r="C399" s="376" t="s">
        <v>299</v>
      </c>
      <c r="D399" s="154" t="s">
        <v>94</v>
      </c>
      <c r="E399" s="336"/>
      <c r="F399" s="31">
        <f>SUM(F397:F398)</f>
        <v>483</v>
      </c>
      <c r="G399" s="392">
        <f>I399/F399</f>
        <v>8.2132505175983432</v>
      </c>
      <c r="H399" s="31">
        <f>H397+H398</f>
        <v>17</v>
      </c>
      <c r="I399" s="31">
        <f>I397+I398</f>
        <v>3967</v>
      </c>
    </row>
    <row r="400" spans="1:9" hidden="1" x14ac:dyDescent="0.25">
      <c r="A400" s="131">
        <v>1</v>
      </c>
      <c r="B400" s="136" t="s">
        <v>235</v>
      </c>
      <c r="C400" s="376" t="s">
        <v>299</v>
      </c>
      <c r="D400" s="26" t="s">
        <v>88</v>
      </c>
      <c r="E400" s="199"/>
      <c r="F400" s="29">
        <f>F399</f>
        <v>483</v>
      </c>
      <c r="G400" s="626">
        <f>G399</f>
        <v>8.2132505175983432</v>
      </c>
      <c r="H400" s="29">
        <f>H399</f>
        <v>17</v>
      </c>
      <c r="I400" s="29">
        <f>I399</f>
        <v>3967</v>
      </c>
    </row>
    <row r="401" spans="1:35" s="397" customFormat="1" hidden="1" x14ac:dyDescent="0.25">
      <c r="A401" s="131">
        <v>1</v>
      </c>
      <c r="B401" s="136" t="s">
        <v>235</v>
      </c>
      <c r="C401" s="376" t="s">
        <v>299</v>
      </c>
      <c r="D401" s="400" t="s">
        <v>213</v>
      </c>
      <c r="E401" s="642"/>
      <c r="F401" s="642"/>
      <c r="G401" s="642"/>
      <c r="H401" s="642"/>
      <c r="I401" s="642"/>
      <c r="J401" s="145"/>
      <c r="K401" s="145"/>
      <c r="L401" s="145"/>
      <c r="M401" s="145"/>
      <c r="N401" s="145"/>
      <c r="O401" s="145"/>
      <c r="P401" s="145"/>
      <c r="Q401" s="145"/>
      <c r="R401" s="145"/>
      <c r="S401" s="145"/>
      <c r="T401" s="145"/>
      <c r="U401" s="145"/>
      <c r="V401" s="145"/>
      <c r="W401" s="145"/>
      <c r="X401" s="145"/>
      <c r="Y401" s="145"/>
      <c r="Z401" s="145"/>
      <c r="AA401" s="145"/>
      <c r="AB401" s="145"/>
      <c r="AC401" s="145"/>
      <c r="AD401" s="145"/>
      <c r="AE401" s="145"/>
      <c r="AF401" s="145"/>
      <c r="AG401" s="145"/>
      <c r="AH401" s="145"/>
      <c r="AI401" s="145"/>
    </row>
    <row r="402" spans="1:35" hidden="1" x14ac:dyDescent="0.25">
      <c r="A402" s="131">
        <v>1</v>
      </c>
      <c r="C402" s="376" t="s">
        <v>299</v>
      </c>
      <c r="D402" s="632"/>
      <c r="E402" s="633"/>
      <c r="F402" s="2"/>
      <c r="G402" s="2"/>
      <c r="H402" s="2"/>
      <c r="I402" s="2"/>
      <c r="J402" s="145"/>
      <c r="K402" s="145"/>
      <c r="L402" s="145"/>
      <c r="M402" s="145"/>
      <c r="N402" s="145"/>
      <c r="O402" s="145"/>
      <c r="P402" s="145"/>
      <c r="Q402" s="145"/>
      <c r="R402" s="145"/>
      <c r="S402" s="145"/>
      <c r="T402" s="145"/>
      <c r="U402" s="145"/>
      <c r="V402" s="145"/>
      <c r="W402" s="145"/>
      <c r="X402" s="145"/>
      <c r="Y402" s="145"/>
      <c r="Z402" s="145"/>
      <c r="AA402" s="145"/>
      <c r="AB402" s="145"/>
      <c r="AC402" s="145"/>
      <c r="AD402" s="145"/>
      <c r="AE402" s="145"/>
      <c r="AF402" s="145"/>
      <c r="AG402" s="145"/>
      <c r="AH402" s="145"/>
      <c r="AI402" s="145"/>
    </row>
    <row r="403" spans="1:35" ht="31.5" x14ac:dyDescent="0.25">
      <c r="A403" s="131">
        <v>1</v>
      </c>
      <c r="B403" s="136" t="s">
        <v>236</v>
      </c>
      <c r="C403" s="376" t="s">
        <v>299</v>
      </c>
      <c r="D403" s="763" t="s">
        <v>318</v>
      </c>
      <c r="E403" s="199"/>
      <c r="F403" s="2"/>
      <c r="G403" s="2"/>
      <c r="H403" s="2"/>
      <c r="I403" s="2"/>
      <c r="J403" s="145"/>
      <c r="K403" s="145"/>
      <c r="L403" s="145"/>
      <c r="M403" s="145"/>
      <c r="N403" s="145"/>
      <c r="O403" s="145"/>
      <c r="P403" s="145"/>
      <c r="Q403" s="145"/>
      <c r="R403" s="145"/>
      <c r="S403" s="145"/>
      <c r="T403" s="145"/>
      <c r="U403" s="145"/>
      <c r="V403" s="145"/>
      <c r="W403" s="145"/>
      <c r="X403" s="145"/>
      <c r="Y403" s="145"/>
      <c r="Z403" s="145"/>
      <c r="AA403" s="145"/>
      <c r="AB403" s="145"/>
      <c r="AC403" s="145"/>
      <c r="AD403" s="145"/>
      <c r="AE403" s="145"/>
      <c r="AF403" s="145"/>
      <c r="AG403" s="145"/>
      <c r="AH403" s="145"/>
      <c r="AI403" s="145"/>
    </row>
    <row r="404" spans="1:35" x14ac:dyDescent="0.25">
      <c r="A404" s="131">
        <v>1</v>
      </c>
      <c r="B404" s="136" t="s">
        <v>236</v>
      </c>
      <c r="C404" s="376" t="s">
        <v>299</v>
      </c>
      <c r="D404" s="137" t="s">
        <v>4</v>
      </c>
      <c r="E404" s="199"/>
      <c r="F404" s="2"/>
      <c r="G404" s="2"/>
      <c r="H404" s="2"/>
      <c r="I404" s="2"/>
      <c r="J404" s="145"/>
      <c r="K404" s="145"/>
      <c r="L404" s="145"/>
      <c r="M404" s="145"/>
      <c r="N404" s="145"/>
      <c r="O404" s="145"/>
      <c r="P404" s="145"/>
      <c r="Q404" s="145"/>
      <c r="R404" s="145"/>
      <c r="S404" s="145"/>
      <c r="T404" s="145"/>
      <c r="U404" s="145"/>
      <c r="V404" s="145"/>
      <c r="W404" s="145"/>
      <c r="X404" s="145"/>
      <c r="Y404" s="145"/>
      <c r="Z404" s="145"/>
      <c r="AA404" s="145"/>
      <c r="AB404" s="145"/>
      <c r="AC404" s="145"/>
      <c r="AD404" s="145"/>
      <c r="AE404" s="145"/>
      <c r="AF404" s="145"/>
      <c r="AG404" s="145"/>
      <c r="AH404" s="145"/>
      <c r="AI404" s="145"/>
    </row>
    <row r="405" spans="1:35" x14ac:dyDescent="0.25">
      <c r="A405" s="131">
        <v>1</v>
      </c>
      <c r="B405" s="136" t="s">
        <v>236</v>
      </c>
      <c r="C405" s="376" t="s">
        <v>299</v>
      </c>
      <c r="D405" s="141" t="s">
        <v>79</v>
      </c>
      <c r="E405" s="336">
        <v>340</v>
      </c>
      <c r="F405" s="2">
        <v>819</v>
      </c>
      <c r="G405" s="337">
        <v>14</v>
      </c>
      <c r="H405" s="2">
        <f>ROUND(I405/E405,0)</f>
        <v>34</v>
      </c>
      <c r="I405" s="2">
        <f>ROUND(F405*G405,0)</f>
        <v>11466</v>
      </c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  <c r="Z405" s="145"/>
      <c r="AA405" s="145"/>
      <c r="AB405" s="145"/>
      <c r="AC405" s="145"/>
      <c r="AD405" s="145"/>
      <c r="AE405" s="145"/>
      <c r="AF405" s="145"/>
      <c r="AG405" s="145"/>
      <c r="AH405" s="145"/>
      <c r="AI405" s="145"/>
    </row>
    <row r="406" spans="1:35" x14ac:dyDescent="0.25">
      <c r="A406" s="131">
        <v>1</v>
      </c>
      <c r="B406" s="136" t="s">
        <v>236</v>
      </c>
      <c r="C406" s="376" t="s">
        <v>299</v>
      </c>
      <c r="D406" s="141" t="s">
        <v>86</v>
      </c>
      <c r="E406" s="336">
        <v>340</v>
      </c>
      <c r="F406" s="2">
        <v>2393</v>
      </c>
      <c r="G406" s="337">
        <v>7.8</v>
      </c>
      <c r="H406" s="2">
        <f>ROUND(I406/E406,0)</f>
        <v>55</v>
      </c>
      <c r="I406" s="2">
        <f>ROUND(F406*G406,0)</f>
        <v>18665</v>
      </c>
      <c r="J406" s="145"/>
      <c r="K406" s="145"/>
      <c r="L406" s="145"/>
      <c r="M406" s="145"/>
      <c r="N406" s="145"/>
      <c r="O406" s="145"/>
      <c r="P406" s="145"/>
      <c r="Q406" s="145"/>
      <c r="R406" s="145"/>
      <c r="S406" s="145"/>
      <c r="T406" s="145"/>
      <c r="U406" s="145"/>
      <c r="V406" s="145"/>
      <c r="W406" s="145"/>
      <c r="X406" s="145"/>
      <c r="Y406" s="145"/>
      <c r="Z406" s="145"/>
      <c r="AA406" s="145"/>
      <c r="AB406" s="145"/>
      <c r="AC406" s="145"/>
      <c r="AD406" s="145"/>
      <c r="AE406" s="145"/>
      <c r="AF406" s="145"/>
      <c r="AG406" s="145"/>
      <c r="AH406" s="145"/>
      <c r="AI406" s="145"/>
    </row>
    <row r="407" spans="1:35" s="145" customFormat="1" x14ac:dyDescent="0.25">
      <c r="A407" s="131">
        <v>1</v>
      </c>
      <c r="B407" s="136" t="s">
        <v>236</v>
      </c>
      <c r="C407" s="376" t="s">
        <v>299</v>
      </c>
      <c r="D407" s="390" t="s">
        <v>5</v>
      </c>
      <c r="E407" s="199"/>
      <c r="F407" s="29">
        <f>SUM(F405:F406)</f>
        <v>3212</v>
      </c>
      <c r="G407" s="158">
        <f>I407/F407</f>
        <v>9.3807596513075957</v>
      </c>
      <c r="H407" s="29">
        <f>H405+H406</f>
        <v>89</v>
      </c>
      <c r="I407" s="29">
        <f>I405+I406</f>
        <v>30131</v>
      </c>
    </row>
    <row r="408" spans="1:35" s="145" customFormat="1" x14ac:dyDescent="0.25">
      <c r="A408" s="131">
        <v>1</v>
      </c>
      <c r="B408" s="136" t="s">
        <v>236</v>
      </c>
      <c r="C408" s="376" t="s">
        <v>299</v>
      </c>
      <c r="D408" s="143" t="s">
        <v>207</v>
      </c>
      <c r="E408" s="277"/>
      <c r="F408" s="29">
        <v>42</v>
      </c>
      <c r="G408" s="158"/>
      <c r="H408" s="29"/>
      <c r="I408" s="29"/>
    </row>
    <row r="409" spans="1:35" s="145" customFormat="1" x14ac:dyDescent="0.25">
      <c r="A409" s="131">
        <v>1</v>
      </c>
      <c r="B409" s="136" t="s">
        <v>236</v>
      </c>
      <c r="C409" s="376" t="s">
        <v>299</v>
      </c>
      <c r="D409" s="12" t="s">
        <v>111</v>
      </c>
      <c r="E409" s="41"/>
      <c r="F409" s="29"/>
      <c r="G409" s="2"/>
      <c r="H409" s="2"/>
      <c r="I409" s="2"/>
    </row>
    <row r="410" spans="1:35" s="145" customFormat="1" x14ac:dyDescent="0.25">
      <c r="A410" s="131"/>
      <c r="B410" s="136" t="s">
        <v>236</v>
      </c>
      <c r="C410" s="376" t="s">
        <v>299</v>
      </c>
      <c r="D410" s="14" t="s">
        <v>251</v>
      </c>
      <c r="E410" s="41"/>
      <c r="F410" s="29">
        <f>F412+F416</f>
        <v>29920</v>
      </c>
      <c r="G410" s="2"/>
      <c r="H410" s="2"/>
      <c r="I410" s="2"/>
    </row>
    <row r="411" spans="1:35" s="145" customFormat="1" x14ac:dyDescent="0.25">
      <c r="A411" s="131"/>
      <c r="B411" s="136" t="s">
        <v>236</v>
      </c>
      <c r="C411" s="376" t="s">
        <v>299</v>
      </c>
      <c r="D411" s="15" t="s">
        <v>252</v>
      </c>
      <c r="E411" s="41"/>
      <c r="F411" s="29"/>
      <c r="G411" s="2"/>
      <c r="H411" s="2"/>
      <c r="I411" s="2"/>
    </row>
    <row r="412" spans="1:35" s="145" customFormat="1" ht="30" x14ac:dyDescent="0.25">
      <c r="A412" s="131"/>
      <c r="B412" s="136" t="s">
        <v>236</v>
      </c>
      <c r="C412" s="376" t="s">
        <v>299</v>
      </c>
      <c r="D412" s="16" t="s">
        <v>388</v>
      </c>
      <c r="E412" s="41"/>
      <c r="F412" s="29">
        <f>F413</f>
        <v>29770</v>
      </c>
      <c r="G412" s="2"/>
      <c r="H412" s="2"/>
      <c r="I412" s="2"/>
    </row>
    <row r="413" spans="1:35" s="145" customFormat="1" x14ac:dyDescent="0.25">
      <c r="A413" s="131"/>
      <c r="B413" s="136" t="s">
        <v>236</v>
      </c>
      <c r="C413" s="376" t="s">
        <v>299</v>
      </c>
      <c r="D413" s="15" t="s">
        <v>389</v>
      </c>
      <c r="E413" s="13"/>
      <c r="F413" s="17">
        <v>29770</v>
      </c>
      <c r="G413" s="10"/>
      <c r="H413" s="10"/>
      <c r="I413" s="10"/>
    </row>
    <row r="414" spans="1:35" s="145" customFormat="1" ht="45" x14ac:dyDescent="0.25">
      <c r="A414" s="131"/>
      <c r="B414" s="136" t="s">
        <v>236</v>
      </c>
      <c r="C414" s="376" t="s">
        <v>299</v>
      </c>
      <c r="D414" s="15" t="s">
        <v>391</v>
      </c>
      <c r="E414" s="41"/>
      <c r="F414" s="2"/>
      <c r="G414" s="2"/>
      <c r="H414" s="2"/>
      <c r="I414" s="2"/>
    </row>
    <row r="415" spans="1:35" s="145" customFormat="1" ht="45" x14ac:dyDescent="0.25">
      <c r="A415" s="131"/>
      <c r="B415" s="136" t="s">
        <v>236</v>
      </c>
      <c r="C415" s="376" t="s">
        <v>299</v>
      </c>
      <c r="D415" s="15" t="s">
        <v>392</v>
      </c>
      <c r="E415" s="41"/>
      <c r="F415" s="2"/>
      <c r="G415" s="2"/>
      <c r="H415" s="2"/>
      <c r="I415" s="2"/>
    </row>
    <row r="416" spans="1:35" s="145" customFormat="1" ht="45" x14ac:dyDescent="0.25">
      <c r="A416" s="131"/>
      <c r="B416" s="136" t="s">
        <v>236</v>
      </c>
      <c r="C416" s="376" t="s">
        <v>299</v>
      </c>
      <c r="D416" s="18" t="s">
        <v>393</v>
      </c>
      <c r="E416" s="41"/>
      <c r="F416" s="2">
        <v>150</v>
      </c>
      <c r="G416" s="2"/>
      <c r="H416" s="2"/>
      <c r="I416" s="2"/>
    </row>
    <row r="417" spans="1:9" s="145" customFormat="1" x14ac:dyDescent="0.25">
      <c r="A417" s="131"/>
      <c r="B417" s="136" t="s">
        <v>236</v>
      </c>
      <c r="C417" s="376" t="s">
        <v>299</v>
      </c>
      <c r="D417" s="14" t="s">
        <v>253</v>
      </c>
      <c r="E417" s="41"/>
      <c r="F417" s="2"/>
      <c r="G417" s="2"/>
      <c r="H417" s="2"/>
      <c r="I417" s="2"/>
    </row>
    <row r="418" spans="1:9" s="145" customFormat="1" ht="29.25" x14ac:dyDescent="0.25">
      <c r="A418" s="131"/>
      <c r="B418" s="136" t="s">
        <v>236</v>
      </c>
      <c r="C418" s="376" t="s">
        <v>299</v>
      </c>
      <c r="D418" s="14" t="s">
        <v>256</v>
      </c>
      <c r="E418" s="41"/>
      <c r="F418" s="29"/>
      <c r="G418" s="2"/>
      <c r="H418" s="2"/>
      <c r="I418" s="2"/>
    </row>
    <row r="419" spans="1:9" s="145" customFormat="1" x14ac:dyDescent="0.25">
      <c r="A419" s="131"/>
      <c r="B419" s="136" t="s">
        <v>236</v>
      </c>
      <c r="C419" s="376" t="s">
        <v>299</v>
      </c>
      <c r="D419" s="19" t="s">
        <v>117</v>
      </c>
      <c r="E419" s="41"/>
      <c r="F419" s="29"/>
      <c r="G419" s="2"/>
      <c r="H419" s="2"/>
      <c r="I419" s="2"/>
    </row>
    <row r="420" spans="1:9" s="145" customFormat="1" ht="57.75" x14ac:dyDescent="0.25">
      <c r="A420" s="131"/>
      <c r="B420" s="136" t="s">
        <v>236</v>
      </c>
      <c r="C420" s="376" t="s">
        <v>299</v>
      </c>
      <c r="D420" s="14" t="s">
        <v>257</v>
      </c>
      <c r="E420" s="41"/>
      <c r="F420" s="29"/>
      <c r="G420" s="2"/>
      <c r="H420" s="2"/>
      <c r="I420" s="2"/>
    </row>
    <row r="421" spans="1:9" s="145" customFormat="1" x14ac:dyDescent="0.25">
      <c r="A421" s="131"/>
      <c r="B421" s="136" t="s">
        <v>236</v>
      </c>
      <c r="C421" s="376" t="s">
        <v>299</v>
      </c>
      <c r="D421" s="20" t="s">
        <v>165</v>
      </c>
      <c r="E421" s="41"/>
      <c r="F421" s="29">
        <f>SUM(F422:F430)</f>
        <v>12770</v>
      </c>
      <c r="G421" s="2"/>
      <c r="H421" s="2"/>
      <c r="I421" s="2"/>
    </row>
    <row r="422" spans="1:9" s="145" customFormat="1" x14ac:dyDescent="0.25">
      <c r="A422" s="131">
        <v>1</v>
      </c>
      <c r="B422" s="136" t="s">
        <v>236</v>
      </c>
      <c r="C422" s="376" t="s">
        <v>299</v>
      </c>
      <c r="D422" s="32" t="s">
        <v>416</v>
      </c>
      <c r="E422" s="13"/>
      <c r="F422" s="2">
        <v>1800</v>
      </c>
      <c r="G422" s="2"/>
      <c r="H422" s="2"/>
      <c r="I422" s="2"/>
    </row>
    <row r="423" spans="1:9" s="145" customFormat="1" x14ac:dyDescent="0.25">
      <c r="A423" s="131">
        <v>1</v>
      </c>
      <c r="B423" s="136" t="s">
        <v>236</v>
      </c>
      <c r="C423" s="376" t="s">
        <v>299</v>
      </c>
      <c r="D423" s="32" t="s">
        <v>140</v>
      </c>
      <c r="E423" s="13"/>
      <c r="F423" s="2">
        <v>80</v>
      </c>
      <c r="G423" s="2"/>
      <c r="H423" s="2"/>
      <c r="I423" s="2"/>
    </row>
    <row r="424" spans="1:9" s="145" customFormat="1" x14ac:dyDescent="0.25">
      <c r="A424" s="131">
        <v>1</v>
      </c>
      <c r="B424" s="136" t="s">
        <v>236</v>
      </c>
      <c r="C424" s="376" t="s">
        <v>299</v>
      </c>
      <c r="D424" s="32" t="s">
        <v>17</v>
      </c>
      <c r="E424" s="13"/>
      <c r="F424" s="2">
        <v>3200</v>
      </c>
      <c r="G424" s="2"/>
      <c r="H424" s="2"/>
      <c r="I424" s="2"/>
    </row>
    <row r="425" spans="1:9" s="145" customFormat="1" ht="30" x14ac:dyDescent="0.25">
      <c r="A425" s="131"/>
      <c r="B425" s="136"/>
      <c r="C425" s="376" t="s">
        <v>299</v>
      </c>
      <c r="D425" s="32" t="s">
        <v>28</v>
      </c>
      <c r="E425" s="13"/>
      <c r="F425" s="2">
        <v>2800</v>
      </c>
      <c r="G425" s="2"/>
      <c r="H425" s="2"/>
      <c r="I425" s="2"/>
    </row>
    <row r="426" spans="1:9" s="55" customFormat="1" ht="75" x14ac:dyDescent="0.25">
      <c r="A426" s="131"/>
      <c r="B426" s="136"/>
      <c r="C426" s="376" t="s">
        <v>299</v>
      </c>
      <c r="D426" s="148" t="s">
        <v>267</v>
      </c>
      <c r="E426" s="41"/>
      <c r="F426" s="2">
        <v>650</v>
      </c>
      <c r="G426" s="2"/>
      <c r="H426" s="2"/>
      <c r="I426" s="2"/>
    </row>
    <row r="427" spans="1:9" s="145" customFormat="1" ht="45" customHeight="1" x14ac:dyDescent="0.25">
      <c r="A427" s="131"/>
      <c r="B427" s="136" t="s">
        <v>236</v>
      </c>
      <c r="C427" s="376" t="s">
        <v>299</v>
      </c>
      <c r="D427" s="32" t="s">
        <v>413</v>
      </c>
      <c r="E427" s="13"/>
      <c r="F427" s="2">
        <v>190</v>
      </c>
      <c r="G427" s="373"/>
      <c r="H427" s="373"/>
      <c r="I427" s="373"/>
    </row>
    <row r="428" spans="1:9" s="145" customFormat="1" x14ac:dyDescent="0.25">
      <c r="A428" s="131"/>
      <c r="B428" s="136"/>
      <c r="C428" s="376" t="s">
        <v>299</v>
      </c>
      <c r="D428" s="32" t="s">
        <v>50</v>
      </c>
      <c r="E428" s="13"/>
      <c r="F428" s="2">
        <v>1400</v>
      </c>
      <c r="G428" s="2"/>
      <c r="H428" s="2"/>
      <c r="I428" s="2"/>
    </row>
    <row r="429" spans="1:9" s="145" customFormat="1" x14ac:dyDescent="0.25">
      <c r="A429" s="131"/>
      <c r="B429" s="136"/>
      <c r="C429" s="376" t="s">
        <v>299</v>
      </c>
      <c r="D429" s="32" t="s">
        <v>428</v>
      </c>
      <c r="E429" s="13"/>
      <c r="F429" s="2">
        <v>50</v>
      </c>
      <c r="G429" s="2"/>
      <c r="H429" s="2"/>
      <c r="I429" s="2"/>
    </row>
    <row r="430" spans="1:9" s="145" customFormat="1" x14ac:dyDescent="0.25">
      <c r="A430" s="131"/>
      <c r="B430" s="136"/>
      <c r="C430" s="376" t="s">
        <v>299</v>
      </c>
      <c r="D430" s="32" t="s">
        <v>27</v>
      </c>
      <c r="E430" s="13"/>
      <c r="F430" s="2">
        <v>2600</v>
      </c>
      <c r="G430" s="2"/>
      <c r="H430" s="2"/>
      <c r="I430" s="2"/>
    </row>
    <row r="431" spans="1:9" s="145" customFormat="1" x14ac:dyDescent="0.25">
      <c r="A431" s="131"/>
      <c r="B431" s="136" t="s">
        <v>236</v>
      </c>
      <c r="C431" s="376" t="s">
        <v>299</v>
      </c>
      <c r="D431" s="21" t="s">
        <v>195</v>
      </c>
      <c r="E431" s="13"/>
      <c r="F431" s="29">
        <f>F410</f>
        <v>29920</v>
      </c>
      <c r="G431" s="2"/>
      <c r="H431" s="2"/>
      <c r="I431" s="2"/>
    </row>
    <row r="432" spans="1:9" s="145" customFormat="1" ht="29.25" x14ac:dyDescent="0.25">
      <c r="A432" s="131"/>
      <c r="B432" s="136" t="s">
        <v>236</v>
      </c>
      <c r="C432" s="376" t="s">
        <v>299</v>
      </c>
      <c r="D432" s="21" t="s">
        <v>196</v>
      </c>
      <c r="E432" s="13"/>
      <c r="F432" s="29"/>
      <c r="G432" s="2"/>
      <c r="H432" s="2"/>
      <c r="I432" s="2"/>
    </row>
    <row r="433" spans="1:35" s="145" customFormat="1" x14ac:dyDescent="0.25">
      <c r="A433" s="131"/>
      <c r="B433" s="136" t="s">
        <v>236</v>
      </c>
      <c r="C433" s="376" t="s">
        <v>299</v>
      </c>
      <c r="D433" s="21" t="s">
        <v>197</v>
      </c>
      <c r="E433" s="13"/>
      <c r="F433" s="29">
        <f>F417</f>
        <v>0</v>
      </c>
      <c r="G433" s="2"/>
      <c r="H433" s="2"/>
      <c r="I433" s="2"/>
    </row>
    <row r="434" spans="1:35" s="145" customFormat="1" ht="29.25" x14ac:dyDescent="0.25">
      <c r="A434" s="131"/>
      <c r="B434" s="136" t="s">
        <v>236</v>
      </c>
      <c r="C434" s="376" t="s">
        <v>299</v>
      </c>
      <c r="D434" s="21" t="s">
        <v>198</v>
      </c>
      <c r="E434" s="13"/>
      <c r="F434" s="29">
        <f>F418</f>
        <v>0</v>
      </c>
      <c r="G434" s="2"/>
      <c r="H434" s="2"/>
      <c r="I434" s="2"/>
    </row>
    <row r="435" spans="1:35" s="145" customFormat="1" x14ac:dyDescent="0.25">
      <c r="A435" s="131"/>
      <c r="B435" s="136" t="s">
        <v>236</v>
      </c>
      <c r="C435" s="376" t="s">
        <v>299</v>
      </c>
      <c r="D435" s="22" t="s">
        <v>112</v>
      </c>
      <c r="E435" s="13"/>
      <c r="F435" s="29">
        <f>F431+F432+F434</f>
        <v>29920</v>
      </c>
      <c r="G435" s="2"/>
      <c r="H435" s="2"/>
      <c r="I435" s="2"/>
    </row>
    <row r="436" spans="1:35" s="145" customFormat="1" x14ac:dyDescent="0.25">
      <c r="A436" s="131">
        <v>1</v>
      </c>
      <c r="B436" s="136" t="s">
        <v>236</v>
      </c>
      <c r="C436" s="376" t="s">
        <v>299</v>
      </c>
      <c r="D436" s="30" t="s">
        <v>7</v>
      </c>
      <c r="E436" s="336"/>
      <c r="F436" s="29"/>
      <c r="G436" s="29"/>
      <c r="H436" s="29"/>
      <c r="I436" s="29"/>
    </row>
    <row r="437" spans="1:35" s="145" customFormat="1" x14ac:dyDescent="0.25">
      <c r="A437" s="131">
        <v>1</v>
      </c>
      <c r="B437" s="136" t="s">
        <v>236</v>
      </c>
      <c r="C437" s="376" t="s">
        <v>299</v>
      </c>
      <c r="D437" s="40" t="s">
        <v>93</v>
      </c>
      <c r="E437" s="336"/>
      <c r="F437" s="29"/>
      <c r="G437" s="29"/>
      <c r="H437" s="29"/>
      <c r="I437" s="29"/>
    </row>
    <row r="438" spans="1:35" s="145" customFormat="1" x14ac:dyDescent="0.25">
      <c r="A438" s="131">
        <v>1</v>
      </c>
      <c r="B438" s="136" t="s">
        <v>236</v>
      </c>
      <c r="C438" s="376" t="s">
        <v>299</v>
      </c>
      <c r="D438" s="1" t="s">
        <v>79</v>
      </c>
      <c r="E438" s="336">
        <v>330</v>
      </c>
      <c r="F438" s="2">
        <v>406</v>
      </c>
      <c r="G438" s="337">
        <v>21</v>
      </c>
      <c r="H438" s="2">
        <f>ROUND(I438/E438,0)</f>
        <v>26</v>
      </c>
      <c r="I438" s="2">
        <f>ROUND(F438*G438,0)</f>
        <v>8526</v>
      </c>
    </row>
    <row r="439" spans="1:35" s="145" customFormat="1" x14ac:dyDescent="0.25">
      <c r="A439" s="131">
        <v>1</v>
      </c>
      <c r="B439" s="136" t="s">
        <v>236</v>
      </c>
      <c r="C439" s="376" t="s">
        <v>299</v>
      </c>
      <c r="D439" s="154" t="s">
        <v>9</v>
      </c>
      <c r="E439" s="199"/>
      <c r="F439" s="31">
        <v>406</v>
      </c>
      <c r="G439" s="158">
        <f>I439/F439</f>
        <v>21</v>
      </c>
      <c r="H439" s="31">
        <f>H438</f>
        <v>26</v>
      </c>
      <c r="I439" s="31">
        <f>I438</f>
        <v>8526</v>
      </c>
    </row>
    <row r="440" spans="1:35" s="145" customFormat="1" x14ac:dyDescent="0.25">
      <c r="A440" s="131">
        <v>1</v>
      </c>
      <c r="B440" s="136" t="s">
        <v>236</v>
      </c>
      <c r="C440" s="376" t="s">
        <v>299</v>
      </c>
      <c r="D440" s="40" t="s">
        <v>18</v>
      </c>
      <c r="E440" s="336"/>
      <c r="F440" s="31"/>
      <c r="G440" s="643"/>
      <c r="H440" s="31"/>
      <c r="I440" s="31"/>
    </row>
    <row r="441" spans="1:35" s="145" customFormat="1" x14ac:dyDescent="0.25">
      <c r="A441" s="131">
        <v>1</v>
      </c>
      <c r="B441" s="136" t="s">
        <v>236</v>
      </c>
      <c r="C441" s="376" t="s">
        <v>299</v>
      </c>
      <c r="D441" s="141" t="s">
        <v>79</v>
      </c>
      <c r="E441" s="336">
        <v>240</v>
      </c>
      <c r="F441" s="2">
        <v>403</v>
      </c>
      <c r="G441" s="337">
        <v>7.6</v>
      </c>
      <c r="H441" s="2">
        <f>ROUND(I441/E441,0)</f>
        <v>13</v>
      </c>
      <c r="I441" s="2">
        <f>ROUND(F441*G441,0)</f>
        <v>3063</v>
      </c>
    </row>
    <row r="442" spans="1:35" s="145" customFormat="1" x14ac:dyDescent="0.25">
      <c r="A442" s="131">
        <v>1</v>
      </c>
      <c r="B442" s="136" t="s">
        <v>236</v>
      </c>
      <c r="C442" s="376" t="s">
        <v>299</v>
      </c>
      <c r="D442" s="644" t="s">
        <v>94</v>
      </c>
      <c r="E442" s="628"/>
      <c r="F442" s="31">
        <v>403</v>
      </c>
      <c r="G442" s="643">
        <f>G441</f>
        <v>7.6</v>
      </c>
      <c r="H442" s="31">
        <f>H441</f>
        <v>13</v>
      </c>
      <c r="I442" s="31">
        <f>I441</f>
        <v>3063</v>
      </c>
    </row>
    <row r="443" spans="1:35" s="145" customFormat="1" x14ac:dyDescent="0.25">
      <c r="A443" s="131">
        <v>1</v>
      </c>
      <c r="B443" s="136" t="s">
        <v>236</v>
      </c>
      <c r="C443" s="376" t="s">
        <v>299</v>
      </c>
      <c r="D443" s="65" t="s">
        <v>88</v>
      </c>
      <c r="E443" s="199"/>
      <c r="F443" s="29">
        <f>F442+F439</f>
        <v>809</v>
      </c>
      <c r="G443" s="158">
        <f>I443/F443</f>
        <v>14.325092707045735</v>
      </c>
      <c r="H443" s="29">
        <f>H439+H441</f>
        <v>39</v>
      </c>
      <c r="I443" s="29">
        <f>I439+I441</f>
        <v>11589</v>
      </c>
    </row>
    <row r="444" spans="1:35" s="145" customFormat="1" ht="30" x14ac:dyDescent="0.25">
      <c r="A444" s="131"/>
      <c r="B444" s="136" t="s">
        <v>236</v>
      </c>
      <c r="C444" s="376" t="s">
        <v>299</v>
      </c>
      <c r="D444" s="410" t="s">
        <v>276</v>
      </c>
      <c r="E444" s="399"/>
      <c r="F444" s="412"/>
      <c r="G444" s="161"/>
      <c r="H444" s="43"/>
      <c r="I444" s="43"/>
    </row>
    <row r="445" spans="1:35" s="145" customFormat="1" ht="30" x14ac:dyDescent="0.25">
      <c r="A445" s="131"/>
      <c r="B445" s="136"/>
      <c r="C445" s="376" t="s">
        <v>299</v>
      </c>
      <c r="D445" s="188" t="s">
        <v>277</v>
      </c>
      <c r="E445" s="399"/>
      <c r="F445" s="369"/>
      <c r="G445" s="165"/>
      <c r="H445" s="289"/>
      <c r="I445" s="289"/>
    </row>
    <row r="446" spans="1:35" s="145" customFormat="1" ht="30" x14ac:dyDescent="0.25">
      <c r="A446" s="131"/>
      <c r="B446" s="136" t="s">
        <v>236</v>
      </c>
      <c r="C446" s="376" t="s">
        <v>299</v>
      </c>
      <c r="D446" s="645" t="s">
        <v>278</v>
      </c>
      <c r="E446" s="646"/>
      <c r="F446" s="647"/>
      <c r="G446" s="648"/>
      <c r="H446" s="541"/>
      <c r="I446" s="541"/>
    </row>
    <row r="447" spans="1:35" s="397" customFormat="1" ht="15.75" thickBot="1" x14ac:dyDescent="0.3">
      <c r="A447" s="131">
        <v>1</v>
      </c>
      <c r="B447" s="136" t="s">
        <v>236</v>
      </c>
      <c r="C447" s="376" t="s">
        <v>299</v>
      </c>
      <c r="D447" s="649" t="s">
        <v>213</v>
      </c>
      <c r="E447" s="395"/>
      <c r="F447" s="395"/>
      <c r="G447" s="395"/>
      <c r="H447" s="395"/>
      <c r="I447" s="395"/>
      <c r="J447" s="145"/>
      <c r="K447" s="145"/>
      <c r="L447" s="145"/>
      <c r="M447" s="145"/>
      <c r="N447" s="145"/>
      <c r="O447" s="145"/>
      <c r="P447" s="145"/>
      <c r="Q447" s="145"/>
      <c r="R447" s="145"/>
      <c r="S447" s="145"/>
      <c r="T447" s="145"/>
      <c r="U447" s="145"/>
      <c r="V447" s="145"/>
      <c r="W447" s="145"/>
      <c r="X447" s="145"/>
      <c r="Y447" s="145"/>
      <c r="Z447" s="145"/>
      <c r="AA447" s="145"/>
      <c r="AB447" s="145"/>
      <c r="AC447" s="145"/>
      <c r="AD447" s="145"/>
      <c r="AE447" s="145"/>
      <c r="AF447" s="145"/>
      <c r="AG447" s="145"/>
      <c r="AH447" s="145"/>
      <c r="AI447" s="145"/>
    </row>
    <row r="448" spans="1:35" ht="31.5" hidden="1" x14ac:dyDescent="0.25">
      <c r="A448" s="131">
        <v>1</v>
      </c>
      <c r="B448" s="384">
        <v>3241001</v>
      </c>
      <c r="C448" s="376" t="s">
        <v>299</v>
      </c>
      <c r="D448" s="763" t="s">
        <v>319</v>
      </c>
      <c r="E448" s="659"/>
      <c r="F448" s="494"/>
      <c r="G448" s="494"/>
      <c r="H448" s="494"/>
      <c r="I448" s="494"/>
      <c r="J448" s="145"/>
      <c r="K448" s="145"/>
      <c r="L448" s="145"/>
      <c r="M448" s="145"/>
      <c r="N448" s="145"/>
      <c r="O448" s="145"/>
      <c r="P448" s="145"/>
      <c r="Q448" s="145"/>
      <c r="R448" s="145"/>
      <c r="S448" s="145"/>
      <c r="T448" s="145"/>
      <c r="U448" s="145"/>
      <c r="V448" s="145"/>
      <c r="W448" s="145"/>
      <c r="X448" s="145"/>
      <c r="Y448" s="145"/>
      <c r="Z448" s="145"/>
      <c r="AA448" s="145"/>
      <c r="AB448" s="145"/>
      <c r="AC448" s="145"/>
      <c r="AD448" s="145"/>
      <c r="AE448" s="145"/>
      <c r="AF448" s="145"/>
      <c r="AG448" s="145"/>
      <c r="AH448" s="145"/>
      <c r="AI448" s="145"/>
    </row>
    <row r="449" spans="1:35" hidden="1" x14ac:dyDescent="0.25">
      <c r="A449" s="131">
        <v>1</v>
      </c>
      <c r="B449" s="384">
        <v>3241001</v>
      </c>
      <c r="C449" s="376" t="s">
        <v>299</v>
      </c>
      <c r="D449" s="137" t="s">
        <v>4</v>
      </c>
      <c r="E449" s="199"/>
      <c r="F449" s="2"/>
      <c r="G449" s="2"/>
      <c r="H449" s="2"/>
      <c r="I449" s="2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  <c r="Z449" s="145"/>
      <c r="AA449" s="145"/>
      <c r="AB449" s="145"/>
      <c r="AC449" s="145"/>
      <c r="AD449" s="145"/>
      <c r="AE449" s="145"/>
      <c r="AF449" s="145"/>
      <c r="AG449" s="145"/>
      <c r="AH449" s="145"/>
      <c r="AI449" s="145"/>
    </row>
    <row r="450" spans="1:35" hidden="1" x14ac:dyDescent="0.25">
      <c r="A450" s="131">
        <v>1</v>
      </c>
      <c r="B450" s="384">
        <v>3241001</v>
      </c>
      <c r="C450" s="376" t="s">
        <v>299</v>
      </c>
      <c r="D450" s="141" t="s">
        <v>80</v>
      </c>
      <c r="E450" s="336">
        <v>320</v>
      </c>
      <c r="F450" s="2">
        <v>326</v>
      </c>
      <c r="G450" s="337">
        <v>13.6</v>
      </c>
      <c r="H450" s="2">
        <f t="shared" ref="H450:H455" si="13">ROUND(I450/E450,0)</f>
        <v>14</v>
      </c>
      <c r="I450" s="2">
        <f t="shared" ref="I450:I455" si="14">ROUND(F450*G450,0)</f>
        <v>4434</v>
      </c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  <c r="Z450" s="145"/>
      <c r="AA450" s="145"/>
      <c r="AB450" s="145"/>
      <c r="AC450" s="145"/>
      <c r="AD450" s="145"/>
      <c r="AE450" s="145"/>
      <c r="AF450" s="145"/>
      <c r="AG450" s="145"/>
      <c r="AH450" s="145"/>
      <c r="AI450" s="145"/>
    </row>
    <row r="451" spans="1:35" hidden="1" x14ac:dyDescent="0.25">
      <c r="A451" s="131">
        <v>1</v>
      </c>
      <c r="B451" s="384">
        <v>3241001</v>
      </c>
      <c r="C451" s="376" t="s">
        <v>299</v>
      </c>
      <c r="D451" s="141" t="s">
        <v>55</v>
      </c>
      <c r="E451" s="336">
        <v>320</v>
      </c>
      <c r="F451" s="2">
        <v>251</v>
      </c>
      <c r="G451" s="337">
        <v>12.5</v>
      </c>
      <c r="H451" s="2">
        <f t="shared" si="13"/>
        <v>10</v>
      </c>
      <c r="I451" s="2">
        <f t="shared" si="14"/>
        <v>3138</v>
      </c>
      <c r="J451" s="145"/>
      <c r="K451" s="145"/>
      <c r="L451" s="145"/>
      <c r="M451" s="145"/>
      <c r="N451" s="145"/>
      <c r="O451" s="145"/>
      <c r="P451" s="145"/>
      <c r="Q451" s="145"/>
      <c r="R451" s="145"/>
      <c r="S451" s="145"/>
      <c r="T451" s="145"/>
      <c r="U451" s="145"/>
      <c r="V451" s="145"/>
      <c r="W451" s="145"/>
      <c r="X451" s="145"/>
      <c r="Y451" s="145"/>
      <c r="Z451" s="145"/>
      <c r="AA451" s="145"/>
      <c r="AB451" s="145"/>
      <c r="AC451" s="145"/>
      <c r="AD451" s="145"/>
      <c r="AE451" s="145"/>
      <c r="AF451" s="145"/>
      <c r="AG451" s="145"/>
      <c r="AH451" s="145"/>
      <c r="AI451" s="145"/>
    </row>
    <row r="452" spans="1:35" hidden="1" x14ac:dyDescent="0.25">
      <c r="A452" s="131">
        <v>1</v>
      </c>
      <c r="B452" s="384">
        <v>3241001</v>
      </c>
      <c r="C452" s="376" t="s">
        <v>299</v>
      </c>
      <c r="D452" s="141" t="s">
        <v>61</v>
      </c>
      <c r="E452" s="336">
        <v>320</v>
      </c>
      <c r="F452" s="2">
        <v>136</v>
      </c>
      <c r="G452" s="404">
        <v>13</v>
      </c>
      <c r="H452" s="2">
        <f t="shared" si="13"/>
        <v>6</v>
      </c>
      <c r="I452" s="2">
        <f t="shared" si="14"/>
        <v>1768</v>
      </c>
      <c r="J452" s="145"/>
      <c r="K452" s="145"/>
      <c r="L452" s="145"/>
      <c r="M452" s="145"/>
      <c r="N452" s="145"/>
      <c r="O452" s="145"/>
      <c r="P452" s="145"/>
      <c r="Q452" s="145"/>
      <c r="R452" s="145"/>
      <c r="S452" s="145"/>
      <c r="T452" s="145"/>
      <c r="U452" s="145"/>
      <c r="V452" s="145"/>
      <c r="W452" s="145"/>
      <c r="X452" s="145"/>
      <c r="Y452" s="145"/>
      <c r="Z452" s="145"/>
      <c r="AA452" s="145"/>
      <c r="AB452" s="145"/>
      <c r="AC452" s="145"/>
      <c r="AD452" s="145"/>
      <c r="AE452" s="145"/>
      <c r="AF452" s="145"/>
      <c r="AG452" s="145"/>
      <c r="AH452" s="145"/>
      <c r="AI452" s="145"/>
    </row>
    <row r="453" spans="1:35" ht="20.25" hidden="1" customHeight="1" x14ac:dyDescent="0.25">
      <c r="A453" s="131">
        <v>1</v>
      </c>
      <c r="B453" s="384">
        <v>3241001</v>
      </c>
      <c r="C453" s="376" t="s">
        <v>299</v>
      </c>
      <c r="D453" s="650" t="s">
        <v>74</v>
      </c>
      <c r="E453" s="336">
        <v>320</v>
      </c>
      <c r="F453" s="2">
        <v>542</v>
      </c>
      <c r="G453" s="405">
        <v>15</v>
      </c>
      <c r="H453" s="2">
        <f t="shared" si="13"/>
        <v>25</v>
      </c>
      <c r="I453" s="2">
        <f t="shared" si="14"/>
        <v>8130</v>
      </c>
      <c r="J453" s="145"/>
      <c r="K453" s="145"/>
      <c r="L453" s="145"/>
      <c r="M453" s="145"/>
      <c r="N453" s="145"/>
      <c r="O453" s="145"/>
      <c r="P453" s="145"/>
      <c r="Q453" s="145"/>
      <c r="R453" s="145"/>
      <c r="S453" s="145"/>
      <c r="T453" s="145"/>
      <c r="U453" s="145"/>
      <c r="V453" s="145"/>
      <c r="W453" s="145"/>
      <c r="X453" s="145"/>
      <c r="Y453" s="145"/>
      <c r="Z453" s="145"/>
      <c r="AA453" s="145"/>
      <c r="AB453" s="145"/>
      <c r="AC453" s="145"/>
      <c r="AD453" s="145"/>
      <c r="AE453" s="145"/>
      <c r="AF453" s="145"/>
      <c r="AG453" s="145"/>
      <c r="AH453" s="145"/>
      <c r="AI453" s="145"/>
    </row>
    <row r="454" spans="1:35" hidden="1" x14ac:dyDescent="0.25">
      <c r="A454" s="131">
        <v>1</v>
      </c>
      <c r="B454" s="384">
        <v>3241001</v>
      </c>
      <c r="C454" s="376" t="s">
        <v>299</v>
      </c>
      <c r="D454" s="141" t="s">
        <v>40</v>
      </c>
      <c r="E454" s="336">
        <v>320</v>
      </c>
      <c r="F454" s="2">
        <v>1372</v>
      </c>
      <c r="G454" s="337">
        <v>9.6</v>
      </c>
      <c r="H454" s="2">
        <f t="shared" si="13"/>
        <v>41</v>
      </c>
      <c r="I454" s="2">
        <f t="shared" si="14"/>
        <v>13171</v>
      </c>
      <c r="J454" s="145"/>
      <c r="K454" s="145"/>
      <c r="L454" s="145"/>
      <c r="M454" s="145"/>
      <c r="N454" s="145"/>
      <c r="O454" s="145"/>
      <c r="P454" s="145"/>
      <c r="Q454" s="145"/>
      <c r="R454" s="145"/>
      <c r="S454" s="145"/>
      <c r="T454" s="145"/>
      <c r="U454" s="145"/>
      <c r="V454" s="145"/>
      <c r="W454" s="145"/>
      <c r="X454" s="145"/>
      <c r="Y454" s="145"/>
      <c r="Z454" s="145"/>
      <c r="AA454" s="145"/>
      <c r="AB454" s="145"/>
      <c r="AC454" s="145"/>
      <c r="AD454" s="145"/>
      <c r="AE454" s="145"/>
      <c r="AF454" s="145"/>
      <c r="AG454" s="145"/>
      <c r="AH454" s="145"/>
      <c r="AI454" s="145"/>
    </row>
    <row r="455" spans="1:35" hidden="1" x14ac:dyDescent="0.25">
      <c r="A455" s="131">
        <v>1</v>
      </c>
      <c r="B455" s="384">
        <v>3241001</v>
      </c>
      <c r="C455" s="376" t="s">
        <v>299</v>
      </c>
      <c r="D455" s="141" t="s">
        <v>13</v>
      </c>
      <c r="E455" s="336">
        <v>320</v>
      </c>
      <c r="F455" s="2">
        <v>350</v>
      </c>
      <c r="G455" s="405">
        <v>11.2</v>
      </c>
      <c r="H455" s="2">
        <f t="shared" si="13"/>
        <v>12</v>
      </c>
      <c r="I455" s="2">
        <f t="shared" si="14"/>
        <v>3920</v>
      </c>
      <c r="J455" s="145"/>
      <c r="K455" s="145"/>
      <c r="L455" s="145"/>
      <c r="M455" s="145"/>
      <c r="N455" s="145"/>
      <c r="O455" s="145"/>
      <c r="P455" s="145"/>
      <c r="Q455" s="145"/>
      <c r="R455" s="145"/>
      <c r="S455" s="145"/>
      <c r="T455" s="145"/>
      <c r="U455" s="145"/>
      <c r="V455" s="145"/>
      <c r="W455" s="145"/>
      <c r="X455" s="145"/>
      <c r="Y455" s="145"/>
      <c r="Z455" s="145"/>
      <c r="AA455" s="145"/>
      <c r="AB455" s="145"/>
      <c r="AC455" s="145"/>
      <c r="AD455" s="145"/>
      <c r="AE455" s="145"/>
      <c r="AF455" s="145"/>
      <c r="AG455" s="145"/>
      <c r="AH455" s="145"/>
      <c r="AI455" s="145"/>
    </row>
    <row r="456" spans="1:35" s="145" customFormat="1" hidden="1" x14ac:dyDescent="0.25">
      <c r="A456" s="131">
        <v>1</v>
      </c>
      <c r="B456" s="384">
        <v>3241001</v>
      </c>
      <c r="C456" s="376" t="s">
        <v>299</v>
      </c>
      <c r="D456" s="390" t="s">
        <v>5</v>
      </c>
      <c r="E456" s="199"/>
      <c r="F456" s="29">
        <f>SUM(F450:F455)</f>
        <v>2977</v>
      </c>
      <c r="G456" s="158">
        <f>I456/F456</f>
        <v>11.609338259993281</v>
      </c>
      <c r="H456" s="29">
        <f>SUM(H450:H455)</f>
        <v>108</v>
      </c>
      <c r="I456" s="29">
        <f>SUM(I450:I455)</f>
        <v>34561</v>
      </c>
    </row>
    <row r="457" spans="1:35" s="55" customFormat="1" hidden="1" x14ac:dyDescent="0.25">
      <c r="A457" s="131">
        <v>1</v>
      </c>
      <c r="B457" s="384">
        <v>3241001</v>
      </c>
      <c r="C457" s="376" t="s">
        <v>299</v>
      </c>
      <c r="D457" s="12" t="s">
        <v>250</v>
      </c>
      <c r="E457" s="12"/>
      <c r="F457" s="77"/>
      <c r="G457" s="54"/>
      <c r="H457" s="54"/>
      <c r="I457" s="54"/>
    </row>
    <row r="458" spans="1:35" s="55" customFormat="1" hidden="1" x14ac:dyDescent="0.25">
      <c r="A458" s="131"/>
      <c r="B458" s="384">
        <v>3241001</v>
      </c>
      <c r="C458" s="376" t="s">
        <v>299</v>
      </c>
      <c r="D458" s="14" t="s">
        <v>192</v>
      </c>
      <c r="E458" s="12"/>
      <c r="F458" s="77">
        <f>F459+F460+F461+F462+F463</f>
        <v>37444</v>
      </c>
      <c r="G458" s="54"/>
      <c r="H458" s="54"/>
      <c r="I458" s="54"/>
    </row>
    <row r="459" spans="1:35" s="55" customFormat="1" hidden="1" x14ac:dyDescent="0.25">
      <c r="A459" s="131"/>
      <c r="B459" s="384">
        <v>3241001</v>
      </c>
      <c r="C459" s="376" t="s">
        <v>299</v>
      </c>
      <c r="D459" s="18" t="s">
        <v>116</v>
      </c>
      <c r="E459" s="12"/>
      <c r="F459" s="62">
        <v>5300</v>
      </c>
      <c r="G459" s="54"/>
      <c r="H459" s="54"/>
      <c r="I459" s="54"/>
    </row>
    <row r="460" spans="1:35" s="55" customFormat="1" ht="30" hidden="1" x14ac:dyDescent="0.25">
      <c r="A460" s="131"/>
      <c r="B460" s="384">
        <v>3241001</v>
      </c>
      <c r="C460" s="376" t="s">
        <v>299</v>
      </c>
      <c r="D460" s="15" t="s">
        <v>397</v>
      </c>
      <c r="E460" s="12"/>
      <c r="F460" s="77">
        <v>6544</v>
      </c>
      <c r="G460" s="54"/>
      <c r="H460" s="54"/>
      <c r="I460" s="54"/>
    </row>
    <row r="461" spans="1:35" s="55" customFormat="1" ht="45" hidden="1" x14ac:dyDescent="0.25">
      <c r="A461" s="131"/>
      <c r="B461" s="384">
        <v>3241001</v>
      </c>
      <c r="C461" s="376" t="s">
        <v>299</v>
      </c>
      <c r="D461" s="15" t="s">
        <v>398</v>
      </c>
      <c r="E461" s="12"/>
      <c r="F461" s="62">
        <v>12500</v>
      </c>
      <c r="G461" s="54"/>
      <c r="H461" s="54"/>
      <c r="I461" s="54"/>
    </row>
    <row r="462" spans="1:35" s="55" customFormat="1" ht="45" hidden="1" x14ac:dyDescent="0.25">
      <c r="A462" s="131"/>
      <c r="B462" s="384">
        <v>3241001</v>
      </c>
      <c r="C462" s="376" t="s">
        <v>299</v>
      </c>
      <c r="D462" s="15" t="s">
        <v>399</v>
      </c>
      <c r="E462" s="12"/>
      <c r="F462" s="62">
        <v>12800</v>
      </c>
      <c r="G462" s="54"/>
      <c r="H462" s="54"/>
      <c r="I462" s="54"/>
    </row>
    <row r="463" spans="1:35" s="55" customFormat="1" ht="75" hidden="1" x14ac:dyDescent="0.25">
      <c r="A463" s="131"/>
      <c r="B463" s="384"/>
      <c r="C463" s="376" t="s">
        <v>299</v>
      </c>
      <c r="D463" s="15" t="s">
        <v>400</v>
      </c>
      <c r="E463" s="12"/>
      <c r="F463" s="62">
        <v>300</v>
      </c>
      <c r="G463" s="54"/>
      <c r="H463" s="54"/>
      <c r="I463" s="54"/>
    </row>
    <row r="464" spans="1:35" s="55" customFormat="1" hidden="1" x14ac:dyDescent="0.25">
      <c r="A464" s="131"/>
      <c r="B464" s="384">
        <v>3241001</v>
      </c>
      <c r="C464" s="376" t="s">
        <v>299</v>
      </c>
      <c r="D464" s="57" t="s">
        <v>90</v>
      </c>
      <c r="E464" s="12"/>
      <c r="F464" s="77">
        <f>F465+F466</f>
        <v>68243</v>
      </c>
      <c r="G464" s="54"/>
      <c r="H464" s="54"/>
      <c r="I464" s="54"/>
    </row>
    <row r="465" spans="1:9" s="55" customFormat="1" hidden="1" x14ac:dyDescent="0.25">
      <c r="A465" s="131"/>
      <c r="B465" s="384">
        <v>3241001</v>
      </c>
      <c r="C465" s="376" t="s">
        <v>299</v>
      </c>
      <c r="D465" s="19" t="s">
        <v>145</v>
      </c>
      <c r="E465" s="12"/>
      <c r="F465" s="62">
        <v>60333</v>
      </c>
      <c r="G465" s="54"/>
      <c r="H465" s="54"/>
      <c r="I465" s="54"/>
    </row>
    <row r="466" spans="1:9" s="55" customFormat="1" ht="45" hidden="1" x14ac:dyDescent="0.25">
      <c r="A466" s="131"/>
      <c r="B466" s="384"/>
      <c r="C466" s="376"/>
      <c r="D466" s="19" t="s">
        <v>414</v>
      </c>
      <c r="E466" s="12"/>
      <c r="F466" s="62">
        <v>7910</v>
      </c>
      <c r="G466" s="54"/>
      <c r="H466" s="54"/>
      <c r="I466" s="54"/>
    </row>
    <row r="467" spans="1:9" s="55" customFormat="1" hidden="1" x14ac:dyDescent="0.25">
      <c r="A467" s="131"/>
      <c r="B467" s="384"/>
      <c r="C467" s="376"/>
      <c r="D467" s="33" t="s">
        <v>98</v>
      </c>
      <c r="E467" s="12"/>
      <c r="F467" s="62"/>
      <c r="G467" s="54"/>
      <c r="H467" s="54"/>
      <c r="I467" s="54"/>
    </row>
    <row r="468" spans="1:9" s="55" customFormat="1" ht="45" hidden="1" x14ac:dyDescent="0.25">
      <c r="A468" s="131"/>
      <c r="B468" s="384"/>
      <c r="C468" s="376"/>
      <c r="D468" s="15" t="s">
        <v>415</v>
      </c>
      <c r="E468" s="12"/>
      <c r="F468" s="62"/>
      <c r="G468" s="54"/>
      <c r="H468" s="54"/>
      <c r="I468" s="54"/>
    </row>
    <row r="469" spans="1:9" s="55" customFormat="1" ht="47.25" hidden="1" x14ac:dyDescent="0.25">
      <c r="A469" s="131"/>
      <c r="B469" s="384">
        <v>3241001</v>
      </c>
      <c r="C469" s="376" t="s">
        <v>299</v>
      </c>
      <c r="D469" s="58" t="s">
        <v>333</v>
      </c>
      <c r="E469" s="12"/>
      <c r="F469" s="77">
        <f>F470+F475</f>
        <v>47625</v>
      </c>
      <c r="G469" s="54"/>
      <c r="H469" s="54"/>
      <c r="I469" s="54"/>
    </row>
    <row r="470" spans="1:9" s="55" customFormat="1" ht="30" hidden="1" x14ac:dyDescent="0.25">
      <c r="A470" s="131">
        <v>1</v>
      </c>
      <c r="B470" s="384">
        <v>3241001</v>
      </c>
      <c r="C470" s="376" t="s">
        <v>299</v>
      </c>
      <c r="D470" s="16" t="s">
        <v>193</v>
      </c>
      <c r="E470" s="59"/>
      <c r="F470" s="59">
        <f>SUM(F471:F474)</f>
        <v>525</v>
      </c>
      <c r="G470" s="54"/>
      <c r="H470" s="54"/>
      <c r="I470" s="54"/>
    </row>
    <row r="471" spans="1:9" s="55" customFormat="1" ht="30" hidden="1" x14ac:dyDescent="0.25">
      <c r="A471" s="131">
        <v>1</v>
      </c>
      <c r="B471" s="384">
        <v>3241001</v>
      </c>
      <c r="C471" s="376" t="s">
        <v>299</v>
      </c>
      <c r="D471" s="15" t="s">
        <v>334</v>
      </c>
      <c r="E471" s="59"/>
      <c r="F471" s="54"/>
      <c r="G471" s="54"/>
      <c r="H471" s="54"/>
      <c r="I471" s="54"/>
    </row>
    <row r="472" spans="1:9" s="55" customFormat="1" ht="45" hidden="1" x14ac:dyDescent="0.25">
      <c r="A472" s="131">
        <v>1</v>
      </c>
      <c r="B472" s="384">
        <v>3241001</v>
      </c>
      <c r="C472" s="376" t="s">
        <v>299</v>
      </c>
      <c r="D472" s="15" t="s">
        <v>402</v>
      </c>
      <c r="E472" s="59"/>
      <c r="F472" s="2"/>
      <c r="G472" s="54"/>
      <c r="H472" s="54"/>
      <c r="I472" s="54"/>
    </row>
    <row r="473" spans="1:9" s="55" customFormat="1" ht="30" hidden="1" x14ac:dyDescent="0.25">
      <c r="A473" s="131">
        <v>1</v>
      </c>
      <c r="B473" s="384">
        <v>3241001</v>
      </c>
      <c r="C473" s="376" t="s">
        <v>299</v>
      </c>
      <c r="D473" s="15" t="s">
        <v>382</v>
      </c>
      <c r="E473" s="59"/>
      <c r="F473" s="2">
        <v>104</v>
      </c>
      <c r="G473" s="54"/>
      <c r="H473" s="54"/>
      <c r="I473" s="54"/>
    </row>
    <row r="474" spans="1:9" s="55" customFormat="1" ht="30" hidden="1" x14ac:dyDescent="0.25">
      <c r="A474" s="131">
        <v>1</v>
      </c>
      <c r="B474" s="384">
        <v>3241001</v>
      </c>
      <c r="C474" s="376" t="s">
        <v>299</v>
      </c>
      <c r="D474" s="15" t="s">
        <v>383</v>
      </c>
      <c r="E474" s="59"/>
      <c r="F474" s="2">
        <v>421</v>
      </c>
      <c r="G474" s="54"/>
      <c r="H474" s="54"/>
      <c r="I474" s="54"/>
    </row>
    <row r="475" spans="1:9" s="145" customFormat="1" ht="30" hidden="1" x14ac:dyDescent="0.25">
      <c r="A475" s="131">
        <v>1</v>
      </c>
      <c r="B475" s="384">
        <v>3241001</v>
      </c>
      <c r="C475" s="376" t="s">
        <v>299</v>
      </c>
      <c r="D475" s="16" t="s">
        <v>194</v>
      </c>
      <c r="E475" s="13"/>
      <c r="F475" s="29">
        <f>SUM(F476:F478)</f>
        <v>47100</v>
      </c>
      <c r="G475" s="2"/>
      <c r="H475" s="2"/>
      <c r="I475" s="2"/>
    </row>
    <row r="476" spans="1:9" s="55" customFormat="1" ht="30" hidden="1" x14ac:dyDescent="0.25">
      <c r="A476" s="131">
        <v>1</v>
      </c>
      <c r="B476" s="384">
        <v>3241001</v>
      </c>
      <c r="C476" s="376" t="s">
        <v>299</v>
      </c>
      <c r="D476" s="15" t="s">
        <v>384</v>
      </c>
      <c r="E476" s="277"/>
      <c r="F476" s="2"/>
      <c r="G476" s="54"/>
      <c r="H476" s="54"/>
      <c r="I476" s="54"/>
    </row>
    <row r="477" spans="1:9" s="55" customFormat="1" ht="45" hidden="1" x14ac:dyDescent="0.25">
      <c r="A477" s="131">
        <v>1</v>
      </c>
      <c r="B477" s="384">
        <v>3241001</v>
      </c>
      <c r="C477" s="376" t="s">
        <v>299</v>
      </c>
      <c r="D477" s="15" t="s">
        <v>385</v>
      </c>
      <c r="E477" s="61"/>
      <c r="F477" s="54">
        <v>27000</v>
      </c>
      <c r="G477" s="62"/>
      <c r="H477" s="62"/>
      <c r="I477" s="62"/>
    </row>
    <row r="478" spans="1:9" s="55" customFormat="1" ht="45" hidden="1" x14ac:dyDescent="0.25">
      <c r="A478" s="131">
        <v>1</v>
      </c>
      <c r="B478" s="384">
        <v>3241001</v>
      </c>
      <c r="C478" s="376" t="s">
        <v>299</v>
      </c>
      <c r="D478" s="15" t="s">
        <v>386</v>
      </c>
      <c r="E478" s="13"/>
      <c r="F478" s="2">
        <v>20100</v>
      </c>
      <c r="G478" s="62"/>
      <c r="H478" s="62"/>
      <c r="I478" s="62"/>
    </row>
    <row r="479" spans="1:9" s="55" customFormat="1" hidden="1" x14ac:dyDescent="0.25">
      <c r="A479" s="131">
        <v>1</v>
      </c>
      <c r="B479" s="384">
        <v>3241001</v>
      </c>
      <c r="C479" s="376" t="s">
        <v>299</v>
      </c>
      <c r="D479" s="14" t="s">
        <v>251</v>
      </c>
      <c r="E479" s="13"/>
      <c r="F479" s="2">
        <f>F480+F481+F485+F486+F488*10</f>
        <v>500</v>
      </c>
      <c r="G479" s="62"/>
      <c r="H479" s="62"/>
      <c r="I479" s="62"/>
    </row>
    <row r="480" spans="1:9" s="55" customFormat="1" hidden="1" x14ac:dyDescent="0.25">
      <c r="A480" s="131">
        <v>1</v>
      </c>
      <c r="B480" s="384">
        <v>3241001</v>
      </c>
      <c r="C480" s="376" t="s">
        <v>299</v>
      </c>
      <c r="D480" s="15" t="s">
        <v>252</v>
      </c>
      <c r="E480" s="13"/>
      <c r="F480" s="2"/>
      <c r="G480" s="62"/>
      <c r="H480" s="62"/>
      <c r="I480" s="62"/>
    </row>
    <row r="481" spans="1:9" s="55" customFormat="1" ht="30" hidden="1" x14ac:dyDescent="0.25">
      <c r="A481" s="131">
        <v>1</v>
      </c>
      <c r="B481" s="384">
        <v>3241001</v>
      </c>
      <c r="C481" s="376" t="s">
        <v>299</v>
      </c>
      <c r="D481" s="16" t="s">
        <v>388</v>
      </c>
      <c r="E481" s="13"/>
      <c r="F481" s="2"/>
      <c r="G481" s="62"/>
      <c r="H481" s="62"/>
      <c r="I481" s="62"/>
    </row>
    <row r="482" spans="1:9" s="145" customFormat="1" hidden="1" x14ac:dyDescent="0.25">
      <c r="A482" s="131"/>
      <c r="B482" s="384">
        <v>3241001</v>
      </c>
      <c r="C482" s="376" t="s">
        <v>299</v>
      </c>
      <c r="D482" s="15" t="s">
        <v>389</v>
      </c>
      <c r="E482" s="13"/>
      <c r="F482" s="13"/>
      <c r="G482" s="10"/>
      <c r="H482" s="10"/>
      <c r="I482" s="10"/>
    </row>
    <row r="483" spans="1:9" s="55" customFormat="1" ht="30" hidden="1" x14ac:dyDescent="0.25">
      <c r="A483" s="131">
        <v>1</v>
      </c>
      <c r="B483" s="384">
        <v>3241001</v>
      </c>
      <c r="C483" s="376" t="s">
        <v>299</v>
      </c>
      <c r="D483" s="15" t="s">
        <v>390</v>
      </c>
      <c r="E483" s="13"/>
      <c r="F483" s="54"/>
      <c r="G483" s="62"/>
      <c r="H483" s="62"/>
      <c r="I483" s="62"/>
    </row>
    <row r="484" spans="1:9" s="55" customFormat="1" ht="45" hidden="1" x14ac:dyDescent="0.25">
      <c r="A484" s="131">
        <v>1</v>
      </c>
      <c r="B484" s="384">
        <v>3241001</v>
      </c>
      <c r="C484" s="376" t="s">
        <v>299</v>
      </c>
      <c r="D484" s="15" t="s">
        <v>391</v>
      </c>
      <c r="E484" s="13"/>
      <c r="F484" s="54"/>
      <c r="G484" s="62"/>
      <c r="H484" s="62"/>
      <c r="I484" s="62"/>
    </row>
    <row r="485" spans="1:9" s="55" customFormat="1" ht="45" hidden="1" x14ac:dyDescent="0.25">
      <c r="A485" s="131">
        <v>1</v>
      </c>
      <c r="B485" s="384">
        <v>3241001</v>
      </c>
      <c r="C485" s="376" t="s">
        <v>299</v>
      </c>
      <c r="D485" s="15" t="s">
        <v>392</v>
      </c>
      <c r="E485" s="13"/>
      <c r="F485" s="54"/>
      <c r="G485" s="62"/>
      <c r="H485" s="62"/>
      <c r="I485" s="62"/>
    </row>
    <row r="486" spans="1:9" s="55" customFormat="1" ht="45" hidden="1" x14ac:dyDescent="0.25">
      <c r="A486" s="131">
        <v>1</v>
      </c>
      <c r="B486" s="384">
        <v>3241001</v>
      </c>
      <c r="C486" s="376" t="s">
        <v>299</v>
      </c>
      <c r="D486" s="18" t="s">
        <v>393</v>
      </c>
      <c r="E486" s="13"/>
      <c r="F486" s="71"/>
      <c r="G486" s="62"/>
      <c r="H486" s="62"/>
      <c r="I486" s="62"/>
    </row>
    <row r="487" spans="1:9" s="55" customFormat="1" ht="75" hidden="1" x14ac:dyDescent="0.25">
      <c r="A487" s="131">
        <v>1</v>
      </c>
      <c r="B487" s="384">
        <v>3241001</v>
      </c>
      <c r="C487" s="376" t="s">
        <v>299</v>
      </c>
      <c r="D487" s="18" t="s">
        <v>394</v>
      </c>
      <c r="E487" s="13"/>
      <c r="F487" s="2"/>
      <c r="G487" s="62"/>
      <c r="H487" s="62"/>
      <c r="I487" s="62"/>
    </row>
    <row r="488" spans="1:9" s="55" customFormat="1" ht="28.5" hidden="1" x14ac:dyDescent="0.25">
      <c r="A488" s="131"/>
      <c r="B488" s="384"/>
      <c r="C488" s="376"/>
      <c r="D488" s="617" t="s">
        <v>422</v>
      </c>
      <c r="E488" s="13"/>
      <c r="F488" s="29">
        <f>F489</f>
        <v>50</v>
      </c>
      <c r="G488" s="62"/>
      <c r="H488" s="62"/>
      <c r="I488" s="62"/>
    </row>
    <row r="489" spans="1:9" s="55" customFormat="1" hidden="1" x14ac:dyDescent="0.25">
      <c r="A489" s="131"/>
      <c r="B489" s="384"/>
      <c r="C489" s="376"/>
      <c r="D489" s="18" t="s">
        <v>425</v>
      </c>
      <c r="E489" s="13"/>
      <c r="F489" s="2">
        <v>50</v>
      </c>
      <c r="G489" s="62"/>
      <c r="H489" s="62"/>
      <c r="I489" s="62"/>
    </row>
    <row r="490" spans="1:9" s="55" customFormat="1" hidden="1" x14ac:dyDescent="0.25">
      <c r="A490" s="131"/>
      <c r="B490" s="384"/>
      <c r="C490" s="376"/>
      <c r="D490" s="14" t="s">
        <v>253</v>
      </c>
      <c r="E490" s="13"/>
      <c r="F490" s="2">
        <f>F491</f>
        <v>600</v>
      </c>
      <c r="G490" s="62"/>
      <c r="H490" s="62"/>
      <c r="I490" s="62"/>
    </row>
    <row r="491" spans="1:9" s="55" customFormat="1" hidden="1" x14ac:dyDescent="0.25">
      <c r="A491" s="131">
        <v>1</v>
      </c>
      <c r="B491" s="384">
        <v>3241001</v>
      </c>
      <c r="C491" s="376" t="s">
        <v>299</v>
      </c>
      <c r="D491" s="14" t="s">
        <v>254</v>
      </c>
      <c r="E491" s="13"/>
      <c r="F491" s="2">
        <v>600</v>
      </c>
      <c r="G491" s="62"/>
      <c r="H491" s="62"/>
      <c r="I491" s="62"/>
    </row>
    <row r="492" spans="1:9" s="55" customFormat="1" hidden="1" x14ac:dyDescent="0.25">
      <c r="A492" s="131">
        <v>1</v>
      </c>
      <c r="B492" s="384">
        <v>3241001</v>
      </c>
      <c r="C492" s="376" t="s">
        <v>299</v>
      </c>
      <c r="D492" s="15" t="s">
        <v>255</v>
      </c>
      <c r="E492" s="13"/>
      <c r="F492" s="39"/>
      <c r="G492" s="62"/>
      <c r="H492" s="62"/>
      <c r="I492" s="62"/>
    </row>
    <row r="493" spans="1:9" s="55" customFormat="1" hidden="1" x14ac:dyDescent="0.25">
      <c r="A493" s="131">
        <v>1</v>
      </c>
      <c r="B493" s="384">
        <v>3241001</v>
      </c>
      <c r="C493" s="376" t="s">
        <v>299</v>
      </c>
      <c r="D493" s="42" t="s">
        <v>261</v>
      </c>
      <c r="E493" s="13"/>
      <c r="F493" s="39"/>
      <c r="G493" s="62"/>
      <c r="H493" s="62"/>
      <c r="I493" s="62"/>
    </row>
    <row r="494" spans="1:9" s="55" customFormat="1" ht="29.25" hidden="1" x14ac:dyDescent="0.25">
      <c r="A494" s="131">
        <v>1</v>
      </c>
      <c r="B494" s="384">
        <v>3241001</v>
      </c>
      <c r="C494" s="376" t="s">
        <v>299</v>
      </c>
      <c r="D494" s="14" t="s">
        <v>256</v>
      </c>
      <c r="E494" s="13"/>
      <c r="F494" s="39">
        <v>16400</v>
      </c>
      <c r="G494" s="62"/>
      <c r="H494" s="62"/>
      <c r="I494" s="62"/>
    </row>
    <row r="495" spans="1:9" s="55" customFormat="1" hidden="1" x14ac:dyDescent="0.25">
      <c r="A495" s="131">
        <v>1</v>
      </c>
      <c r="B495" s="384">
        <v>3241001</v>
      </c>
      <c r="C495" s="376" t="s">
        <v>299</v>
      </c>
      <c r="D495" s="19" t="s">
        <v>117</v>
      </c>
      <c r="E495" s="13"/>
      <c r="F495" s="39">
        <v>4800</v>
      </c>
      <c r="G495" s="62"/>
      <c r="H495" s="62"/>
      <c r="I495" s="62"/>
    </row>
    <row r="496" spans="1:9" s="55" customFormat="1" ht="57.75" hidden="1" x14ac:dyDescent="0.25">
      <c r="A496" s="131">
        <v>1</v>
      </c>
      <c r="B496" s="384">
        <v>3241001</v>
      </c>
      <c r="C496" s="376" t="s">
        <v>299</v>
      </c>
      <c r="D496" s="14" t="s">
        <v>257</v>
      </c>
      <c r="E496" s="13"/>
      <c r="F496" s="2">
        <v>1100</v>
      </c>
      <c r="G496" s="62"/>
      <c r="H496" s="62"/>
      <c r="I496" s="62"/>
    </row>
    <row r="497" spans="1:35" s="55" customFormat="1" hidden="1" x14ac:dyDescent="0.25">
      <c r="A497" s="131">
        <v>1</v>
      </c>
      <c r="B497" s="384">
        <v>3241001</v>
      </c>
      <c r="C497" s="376" t="s">
        <v>299</v>
      </c>
      <c r="D497" s="20" t="s">
        <v>165</v>
      </c>
      <c r="E497" s="13"/>
      <c r="F497" s="29">
        <f>SUM(F498:F506)</f>
        <v>124121</v>
      </c>
      <c r="G497" s="62"/>
      <c r="H497" s="62"/>
      <c r="I497" s="62"/>
    </row>
    <row r="498" spans="1:35" s="55" customFormat="1" hidden="1" x14ac:dyDescent="0.25">
      <c r="A498" s="131">
        <v>1</v>
      </c>
      <c r="B498" s="384">
        <v>3241001</v>
      </c>
      <c r="C498" s="376" t="s">
        <v>299</v>
      </c>
      <c r="D498" s="19" t="s">
        <v>53</v>
      </c>
      <c r="E498" s="13"/>
      <c r="F498" s="2">
        <v>60486</v>
      </c>
      <c r="G498" s="62"/>
      <c r="H498" s="62"/>
      <c r="I498" s="62"/>
    </row>
    <row r="499" spans="1:35" s="55" customFormat="1" hidden="1" x14ac:dyDescent="0.25">
      <c r="A499" s="131">
        <v>1</v>
      </c>
      <c r="B499" s="384">
        <v>3241001</v>
      </c>
      <c r="C499" s="376" t="s">
        <v>299</v>
      </c>
      <c r="D499" s="19" t="s">
        <v>150</v>
      </c>
      <c r="E499" s="13"/>
      <c r="F499" s="369">
        <v>19000</v>
      </c>
      <c r="G499" s="62"/>
      <c r="H499" s="62"/>
      <c r="I499" s="62"/>
    </row>
    <row r="500" spans="1:35" s="55" customFormat="1" ht="45" hidden="1" x14ac:dyDescent="0.25">
      <c r="A500" s="131"/>
      <c r="B500" s="384"/>
      <c r="C500" s="376"/>
      <c r="D500" s="19" t="s">
        <v>419</v>
      </c>
      <c r="E500" s="13"/>
      <c r="F500" s="2"/>
      <c r="G500" s="62"/>
      <c r="H500" s="62"/>
      <c r="I500" s="62"/>
    </row>
    <row r="501" spans="1:35" s="55" customFormat="1" ht="30" hidden="1" x14ac:dyDescent="0.25">
      <c r="A501" s="131">
        <v>1</v>
      </c>
      <c r="B501" s="384">
        <v>3241001</v>
      </c>
      <c r="C501" s="376" t="s">
        <v>299</v>
      </c>
      <c r="D501" s="19" t="s">
        <v>126</v>
      </c>
      <c r="E501" s="13"/>
      <c r="F501" s="2">
        <v>5500</v>
      </c>
      <c r="G501" s="62"/>
      <c r="H501" s="62"/>
      <c r="I501" s="62"/>
    </row>
    <row r="502" spans="1:35" s="145" customFormat="1" ht="45" hidden="1" x14ac:dyDescent="0.25">
      <c r="A502" s="131">
        <v>1</v>
      </c>
      <c r="B502" s="384">
        <v>3241001</v>
      </c>
      <c r="C502" s="376" t="s">
        <v>299</v>
      </c>
      <c r="D502" s="19" t="s">
        <v>242</v>
      </c>
      <c r="E502" s="86"/>
      <c r="F502" s="71">
        <v>37000</v>
      </c>
      <c r="G502" s="373"/>
      <c r="H502" s="373"/>
      <c r="I502" s="373"/>
    </row>
    <row r="503" spans="1:35" s="145" customFormat="1" hidden="1" x14ac:dyDescent="0.25">
      <c r="A503" s="131"/>
      <c r="B503" s="384"/>
      <c r="C503" s="376"/>
      <c r="D503" s="19" t="s">
        <v>101</v>
      </c>
      <c r="E503" s="86"/>
      <c r="F503" s="71">
        <v>100</v>
      </c>
      <c r="G503" s="373"/>
      <c r="H503" s="373"/>
      <c r="I503" s="373"/>
    </row>
    <row r="504" spans="1:35" s="55" customFormat="1" ht="30" hidden="1" x14ac:dyDescent="0.25">
      <c r="A504" s="131">
        <v>1</v>
      </c>
      <c r="B504" s="384">
        <v>3241001</v>
      </c>
      <c r="C504" s="376" t="s">
        <v>299</v>
      </c>
      <c r="D504" s="19" t="s">
        <v>200</v>
      </c>
      <c r="E504" s="59"/>
      <c r="F504" s="71">
        <v>55</v>
      </c>
      <c r="G504" s="373"/>
      <c r="H504" s="373"/>
      <c r="I504" s="373"/>
    </row>
    <row r="505" spans="1:35" s="55" customFormat="1" ht="30" hidden="1" x14ac:dyDescent="0.25">
      <c r="A505" s="131">
        <v>1</v>
      </c>
      <c r="B505" s="384">
        <v>3241001</v>
      </c>
      <c r="C505" s="376" t="s">
        <v>299</v>
      </c>
      <c r="D505" s="19" t="s">
        <v>199</v>
      </c>
      <c r="E505" s="13"/>
      <c r="F505" s="2">
        <v>1400</v>
      </c>
      <c r="G505" s="373"/>
      <c r="H505" s="373"/>
      <c r="I505" s="373"/>
    </row>
    <row r="506" spans="1:35" s="55" customFormat="1" hidden="1" x14ac:dyDescent="0.25">
      <c r="A506" s="131"/>
      <c r="B506" s="384"/>
      <c r="C506" s="376" t="s">
        <v>299</v>
      </c>
      <c r="D506" s="19" t="s">
        <v>119</v>
      </c>
      <c r="E506" s="59"/>
      <c r="F506" s="71">
        <v>580</v>
      </c>
      <c r="G506" s="373"/>
      <c r="H506" s="373"/>
      <c r="I506" s="373"/>
    </row>
    <row r="507" spans="1:35" s="55" customFormat="1" hidden="1" x14ac:dyDescent="0.25">
      <c r="A507" s="131"/>
      <c r="B507" s="384">
        <v>3241001</v>
      </c>
      <c r="C507" s="376" t="s">
        <v>299</v>
      </c>
      <c r="D507" s="21" t="s">
        <v>195</v>
      </c>
      <c r="E507" s="13"/>
      <c r="F507" s="29">
        <f>F479+F458</f>
        <v>37944</v>
      </c>
      <c r="G507" s="373"/>
      <c r="H507" s="373"/>
      <c r="I507" s="373"/>
    </row>
    <row r="508" spans="1:35" s="55" customFormat="1" ht="29.25" hidden="1" x14ac:dyDescent="0.25">
      <c r="A508" s="131"/>
      <c r="B508" s="384">
        <v>3241001</v>
      </c>
      <c r="C508" s="376" t="s">
        <v>299</v>
      </c>
      <c r="D508" s="21" t="s">
        <v>196</v>
      </c>
      <c r="E508" s="13"/>
      <c r="F508" s="29">
        <f>F469</f>
        <v>47625</v>
      </c>
      <c r="G508" s="373"/>
      <c r="H508" s="373"/>
      <c r="I508" s="373"/>
    </row>
    <row r="509" spans="1:35" s="55" customFormat="1" hidden="1" x14ac:dyDescent="0.25">
      <c r="A509" s="131"/>
      <c r="B509" s="384">
        <v>3241001</v>
      </c>
      <c r="C509" s="376" t="s">
        <v>299</v>
      </c>
      <c r="D509" s="21" t="s">
        <v>197</v>
      </c>
      <c r="E509" s="13"/>
      <c r="F509" s="29">
        <f>F490+F464</f>
        <v>68843</v>
      </c>
      <c r="G509" s="373"/>
      <c r="H509" s="373"/>
      <c r="I509" s="373"/>
    </row>
    <row r="510" spans="1:35" s="55" customFormat="1" ht="29.25" hidden="1" x14ac:dyDescent="0.25">
      <c r="A510" s="131"/>
      <c r="B510" s="384">
        <v>3241001</v>
      </c>
      <c r="C510" s="376" t="s">
        <v>299</v>
      </c>
      <c r="D510" s="21" t="s">
        <v>198</v>
      </c>
      <c r="E510" s="13"/>
      <c r="F510" s="29">
        <f>F494+F496</f>
        <v>17500</v>
      </c>
      <c r="G510" s="373"/>
      <c r="H510" s="373"/>
      <c r="I510" s="373"/>
    </row>
    <row r="511" spans="1:35" s="55" customFormat="1" hidden="1" x14ac:dyDescent="0.25">
      <c r="A511" s="131"/>
      <c r="B511" s="384">
        <v>3241001</v>
      </c>
      <c r="C511" s="376" t="s">
        <v>299</v>
      </c>
      <c r="D511" s="22" t="s">
        <v>112</v>
      </c>
      <c r="E511" s="13"/>
      <c r="F511" s="29">
        <f>F507+F508+(F464+F491)*2.6+F510</f>
        <v>282060.80000000005</v>
      </c>
      <c r="G511" s="373"/>
      <c r="H511" s="373"/>
      <c r="I511" s="373"/>
    </row>
    <row r="512" spans="1:35" hidden="1" x14ac:dyDescent="0.25">
      <c r="A512" s="131">
        <v>1</v>
      </c>
      <c r="B512" s="384">
        <v>3241001</v>
      </c>
      <c r="C512" s="376" t="s">
        <v>299</v>
      </c>
      <c r="D512" s="30" t="s">
        <v>7</v>
      </c>
      <c r="E512" s="336"/>
      <c r="F512" s="2"/>
      <c r="G512" s="2"/>
      <c r="H512" s="2"/>
      <c r="I512" s="2"/>
      <c r="J512" s="145"/>
      <c r="K512" s="145"/>
      <c r="L512" s="145"/>
      <c r="M512" s="145"/>
      <c r="N512" s="145"/>
      <c r="O512" s="145"/>
      <c r="P512" s="145"/>
      <c r="Q512" s="145"/>
      <c r="R512" s="145"/>
      <c r="S512" s="145"/>
      <c r="T512" s="145"/>
      <c r="U512" s="145"/>
      <c r="V512" s="145"/>
      <c r="W512" s="145"/>
      <c r="X512" s="145"/>
      <c r="Y512" s="145"/>
      <c r="Z512" s="145"/>
      <c r="AA512" s="145"/>
      <c r="AB512" s="145"/>
      <c r="AC512" s="145"/>
      <c r="AD512" s="145"/>
      <c r="AE512" s="145"/>
      <c r="AF512" s="145"/>
      <c r="AG512" s="145"/>
      <c r="AH512" s="145"/>
      <c r="AI512" s="145"/>
    </row>
    <row r="513" spans="1:35" hidden="1" x14ac:dyDescent="0.25">
      <c r="A513" s="131">
        <v>1</v>
      </c>
      <c r="B513" s="384">
        <v>3241001</v>
      </c>
      <c r="C513" s="376" t="s">
        <v>299</v>
      </c>
      <c r="D513" s="40" t="s">
        <v>93</v>
      </c>
      <c r="E513" s="336"/>
      <c r="F513" s="2"/>
      <c r="G513" s="2"/>
      <c r="H513" s="2"/>
      <c r="I513" s="2"/>
      <c r="J513" s="145"/>
      <c r="K513" s="145"/>
      <c r="L513" s="145"/>
      <c r="M513" s="145"/>
      <c r="N513" s="145"/>
      <c r="O513" s="145"/>
      <c r="P513" s="145"/>
      <c r="Q513" s="145"/>
      <c r="R513" s="145"/>
      <c r="S513" s="145"/>
      <c r="T513" s="145"/>
      <c r="U513" s="145"/>
      <c r="V513" s="145"/>
      <c r="W513" s="145"/>
      <c r="X513" s="145"/>
      <c r="Y513" s="145"/>
      <c r="Z513" s="145"/>
      <c r="AA513" s="145"/>
      <c r="AB513" s="145"/>
      <c r="AC513" s="145"/>
      <c r="AD513" s="145"/>
      <c r="AE513" s="145"/>
      <c r="AF513" s="145"/>
      <c r="AG513" s="145"/>
      <c r="AH513" s="145"/>
      <c r="AI513" s="145"/>
    </row>
    <row r="514" spans="1:35" hidden="1" x14ac:dyDescent="0.25">
      <c r="A514" s="131">
        <v>1</v>
      </c>
      <c r="B514" s="384">
        <v>3241001</v>
      </c>
      <c r="C514" s="376" t="s">
        <v>299</v>
      </c>
      <c r="D514" s="1" t="s">
        <v>40</v>
      </c>
      <c r="E514" s="336">
        <v>300</v>
      </c>
      <c r="F514" s="2">
        <v>215</v>
      </c>
      <c r="G514" s="337">
        <v>10</v>
      </c>
      <c r="H514" s="2">
        <f>ROUND(I514/E514,0)</f>
        <v>7</v>
      </c>
      <c r="I514" s="2">
        <f>ROUND(F514*G514,0)</f>
        <v>2150</v>
      </c>
      <c r="J514" s="145"/>
      <c r="K514" s="145"/>
      <c r="L514" s="145"/>
      <c r="M514" s="145"/>
      <c r="N514" s="145"/>
      <c r="O514" s="145"/>
      <c r="P514" s="145"/>
      <c r="Q514" s="145"/>
      <c r="R514" s="145"/>
      <c r="S514" s="145"/>
      <c r="T514" s="145"/>
      <c r="U514" s="145"/>
      <c r="V514" s="145"/>
      <c r="W514" s="145"/>
      <c r="X514" s="145"/>
      <c r="Y514" s="145"/>
      <c r="Z514" s="145"/>
      <c r="AA514" s="145"/>
      <c r="AB514" s="145"/>
      <c r="AC514" s="145"/>
      <c r="AD514" s="145"/>
      <c r="AE514" s="145"/>
      <c r="AF514" s="145"/>
      <c r="AG514" s="145"/>
      <c r="AH514" s="145"/>
      <c r="AI514" s="145"/>
    </row>
    <row r="515" spans="1:35" hidden="1" x14ac:dyDescent="0.25">
      <c r="A515" s="131">
        <v>1</v>
      </c>
      <c r="B515" s="384">
        <v>3241001</v>
      </c>
      <c r="C515" s="376" t="s">
        <v>299</v>
      </c>
      <c r="D515" s="30" t="s">
        <v>9</v>
      </c>
      <c r="E515" s="336"/>
      <c r="F515" s="31">
        <f>F514</f>
        <v>215</v>
      </c>
      <c r="G515" s="158">
        <f>I515/F515</f>
        <v>10</v>
      </c>
      <c r="H515" s="31">
        <f>SUM(H514)</f>
        <v>7</v>
      </c>
      <c r="I515" s="31">
        <f>SUM(I514)</f>
        <v>2150</v>
      </c>
      <c r="J515" s="145"/>
      <c r="K515" s="145"/>
      <c r="L515" s="145"/>
      <c r="M515" s="145"/>
      <c r="N515" s="145"/>
      <c r="O515" s="145"/>
      <c r="P515" s="145"/>
      <c r="Q515" s="145"/>
      <c r="R515" s="145"/>
      <c r="S515" s="145"/>
      <c r="T515" s="145"/>
      <c r="U515" s="145"/>
      <c r="V515" s="145"/>
      <c r="W515" s="145"/>
      <c r="X515" s="145"/>
      <c r="Y515" s="145"/>
      <c r="Z515" s="145"/>
      <c r="AA515" s="145"/>
      <c r="AB515" s="145"/>
      <c r="AC515" s="145"/>
      <c r="AD515" s="145"/>
      <c r="AE515" s="145"/>
      <c r="AF515" s="145"/>
      <c r="AG515" s="145"/>
      <c r="AH515" s="145"/>
      <c r="AI515" s="145"/>
    </row>
    <row r="516" spans="1:35" ht="12" hidden="1" customHeight="1" x14ac:dyDescent="0.25">
      <c r="A516" s="131">
        <v>1</v>
      </c>
      <c r="B516" s="384">
        <v>3241001</v>
      </c>
      <c r="C516" s="376" t="s">
        <v>299</v>
      </c>
      <c r="D516" s="40" t="s">
        <v>18</v>
      </c>
      <c r="E516" s="336"/>
      <c r="F516" s="31"/>
      <c r="G516" s="392"/>
      <c r="H516" s="31"/>
      <c r="I516" s="31"/>
      <c r="J516" s="145"/>
      <c r="K516" s="145"/>
      <c r="L516" s="145"/>
      <c r="M516" s="145"/>
      <c r="N516" s="145"/>
      <c r="O516" s="145"/>
      <c r="P516" s="145"/>
      <c r="Q516" s="145"/>
      <c r="R516" s="145"/>
      <c r="S516" s="145"/>
      <c r="T516" s="145"/>
      <c r="U516" s="145"/>
      <c r="V516" s="145"/>
      <c r="W516" s="145"/>
      <c r="X516" s="145"/>
      <c r="Y516" s="145"/>
      <c r="Z516" s="145"/>
      <c r="AA516" s="145"/>
      <c r="AB516" s="145"/>
      <c r="AC516" s="145"/>
      <c r="AD516" s="145"/>
      <c r="AE516" s="145"/>
      <c r="AF516" s="145"/>
      <c r="AG516" s="145"/>
      <c r="AH516" s="145"/>
      <c r="AI516" s="145"/>
    </row>
    <row r="517" spans="1:35" hidden="1" x14ac:dyDescent="0.25">
      <c r="A517" s="131">
        <v>1</v>
      </c>
      <c r="B517" s="384">
        <v>3241001</v>
      </c>
      <c r="C517" s="376" t="s">
        <v>299</v>
      </c>
      <c r="D517" s="651" t="s">
        <v>55</v>
      </c>
      <c r="E517" s="336">
        <v>240</v>
      </c>
      <c r="F517" s="2">
        <v>110</v>
      </c>
      <c r="G517" s="337">
        <v>3</v>
      </c>
      <c r="H517" s="2">
        <f>ROUND(I517/E517,0)</f>
        <v>1</v>
      </c>
      <c r="I517" s="2">
        <f>ROUND(F517*G517,0)</f>
        <v>330</v>
      </c>
      <c r="J517" s="145"/>
      <c r="K517" s="145"/>
      <c r="L517" s="145"/>
      <c r="M517" s="145"/>
      <c r="N517" s="145"/>
      <c r="O517" s="145"/>
      <c r="P517" s="145"/>
      <c r="Q517" s="145"/>
      <c r="R517" s="145"/>
      <c r="S517" s="145"/>
      <c r="T517" s="145"/>
      <c r="U517" s="145"/>
      <c r="V517" s="145"/>
      <c r="W517" s="145"/>
      <c r="X517" s="145"/>
      <c r="Y517" s="145"/>
      <c r="Z517" s="145"/>
      <c r="AA517" s="145"/>
      <c r="AB517" s="145"/>
      <c r="AC517" s="145"/>
      <c r="AD517" s="145"/>
      <c r="AE517" s="145"/>
      <c r="AF517" s="145"/>
      <c r="AG517" s="145"/>
      <c r="AH517" s="145"/>
      <c r="AI517" s="145"/>
    </row>
    <row r="518" spans="1:35" hidden="1" x14ac:dyDescent="0.25">
      <c r="A518" s="131">
        <v>1</v>
      </c>
      <c r="B518" s="384">
        <v>3241001</v>
      </c>
      <c r="C518" s="376" t="s">
        <v>299</v>
      </c>
      <c r="D518" s="25" t="s">
        <v>24</v>
      </c>
      <c r="E518" s="336">
        <v>240</v>
      </c>
      <c r="F518" s="2">
        <v>773</v>
      </c>
      <c r="G518" s="337">
        <v>8</v>
      </c>
      <c r="H518" s="2">
        <f>ROUND(I518/E518,0)</f>
        <v>26</v>
      </c>
      <c r="I518" s="2">
        <f>ROUND(F518*G518,0)</f>
        <v>6184</v>
      </c>
      <c r="J518" s="145"/>
      <c r="K518" s="145"/>
      <c r="L518" s="145"/>
      <c r="M518" s="145"/>
      <c r="N518" s="145"/>
      <c r="O518" s="145"/>
      <c r="P518" s="145"/>
      <c r="Q518" s="145"/>
      <c r="R518" s="145"/>
      <c r="S518" s="145"/>
      <c r="T518" s="145"/>
      <c r="U518" s="145"/>
      <c r="V518" s="145"/>
      <c r="W518" s="145"/>
      <c r="X518" s="145"/>
      <c r="Y518" s="145"/>
      <c r="Z518" s="145"/>
      <c r="AA518" s="145"/>
      <c r="AB518" s="145"/>
      <c r="AC518" s="145"/>
      <c r="AD518" s="145"/>
      <c r="AE518" s="145"/>
      <c r="AF518" s="145"/>
      <c r="AG518" s="145"/>
      <c r="AH518" s="145"/>
      <c r="AI518" s="145"/>
    </row>
    <row r="519" spans="1:35" hidden="1" x14ac:dyDescent="0.25">
      <c r="A519" s="131">
        <v>1</v>
      </c>
      <c r="B519" s="384">
        <v>3241001</v>
      </c>
      <c r="C519" s="376" t="s">
        <v>299</v>
      </c>
      <c r="D519" s="644" t="s">
        <v>94</v>
      </c>
      <c r="E519" s="336"/>
      <c r="F519" s="31">
        <f>SUM(F517:F518)</f>
        <v>883</v>
      </c>
      <c r="G519" s="158">
        <f>I519/F519</f>
        <v>7.3771234428086068</v>
      </c>
      <c r="H519" s="31">
        <f>SUM(H517:H518)</f>
        <v>27</v>
      </c>
      <c r="I519" s="31">
        <f>SUM(I517:I518)</f>
        <v>6514</v>
      </c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  <c r="Z519" s="145"/>
      <c r="AA519" s="145"/>
      <c r="AB519" s="145"/>
      <c r="AC519" s="145"/>
      <c r="AD519" s="145"/>
      <c r="AE519" s="145"/>
      <c r="AF519" s="145"/>
      <c r="AG519" s="145"/>
      <c r="AH519" s="145"/>
      <c r="AI519" s="145"/>
    </row>
    <row r="520" spans="1:35" hidden="1" x14ac:dyDescent="0.25">
      <c r="A520" s="131">
        <v>1</v>
      </c>
      <c r="B520" s="384">
        <v>3241001</v>
      </c>
      <c r="C520" s="376" t="s">
        <v>299</v>
      </c>
      <c r="D520" s="26" t="s">
        <v>89</v>
      </c>
      <c r="E520" s="199"/>
      <c r="F520" s="29">
        <f>F519+F515</f>
        <v>1098</v>
      </c>
      <c r="G520" s="158">
        <f>I520/F520</f>
        <v>7.8907103825136611</v>
      </c>
      <c r="H520" s="29">
        <f>H515+H519</f>
        <v>34</v>
      </c>
      <c r="I520" s="29">
        <f>I515+I519</f>
        <v>8664</v>
      </c>
    </row>
    <row r="521" spans="1:35" s="145" customFormat="1" ht="15.75" hidden="1" thickBot="1" x14ac:dyDescent="0.3">
      <c r="A521" s="131">
        <v>1</v>
      </c>
      <c r="B521" s="384">
        <v>3241001</v>
      </c>
      <c r="C521" s="376" t="s">
        <v>299</v>
      </c>
      <c r="D521" s="652" t="s">
        <v>213</v>
      </c>
      <c r="E521" s="394"/>
      <c r="F521" s="653"/>
      <c r="G521" s="653"/>
      <c r="H521" s="653"/>
      <c r="I521" s="653"/>
    </row>
    <row r="522" spans="1:35" s="145" customFormat="1" ht="47.25" hidden="1" x14ac:dyDescent="0.25">
      <c r="A522" s="131">
        <v>1</v>
      </c>
      <c r="B522" s="136" t="s">
        <v>237</v>
      </c>
      <c r="C522" s="376" t="s">
        <v>299</v>
      </c>
      <c r="D522" s="763" t="s">
        <v>320</v>
      </c>
      <c r="E522" s="277"/>
      <c r="F522" s="2"/>
      <c r="G522" s="2"/>
      <c r="H522" s="2"/>
      <c r="I522" s="2"/>
    </row>
    <row r="523" spans="1:35" s="145" customFormat="1" hidden="1" x14ac:dyDescent="0.25">
      <c r="A523" s="131">
        <v>1</v>
      </c>
      <c r="B523" s="136" t="s">
        <v>237</v>
      </c>
      <c r="C523" s="376" t="s">
        <v>299</v>
      </c>
      <c r="D523" s="12" t="s">
        <v>111</v>
      </c>
      <c r="E523" s="13"/>
      <c r="F523" s="2"/>
      <c r="G523" s="2"/>
      <c r="H523" s="2"/>
      <c r="I523" s="2"/>
    </row>
    <row r="524" spans="1:35" s="145" customFormat="1" hidden="1" x14ac:dyDescent="0.25">
      <c r="A524" s="131"/>
      <c r="B524" s="136" t="s">
        <v>237</v>
      </c>
      <c r="C524" s="376" t="s">
        <v>299</v>
      </c>
      <c r="D524" s="14" t="s">
        <v>251</v>
      </c>
      <c r="E524" s="13"/>
      <c r="F524" s="29">
        <f>F525+F526+F532+F533+F534*5</f>
        <v>132125</v>
      </c>
      <c r="G524" s="2"/>
      <c r="H524" s="2"/>
      <c r="I524" s="2"/>
    </row>
    <row r="525" spans="1:35" s="145" customFormat="1" hidden="1" x14ac:dyDescent="0.25">
      <c r="A525" s="131"/>
      <c r="B525" s="136" t="s">
        <v>237</v>
      </c>
      <c r="C525" s="376" t="s">
        <v>299</v>
      </c>
      <c r="D525" s="15" t="s">
        <v>252</v>
      </c>
      <c r="E525" s="13"/>
      <c r="F525" s="2">
        <v>11000</v>
      </c>
      <c r="G525" s="2"/>
      <c r="H525" s="2"/>
      <c r="I525" s="2"/>
    </row>
    <row r="526" spans="1:35" s="145" customFormat="1" ht="30" hidden="1" x14ac:dyDescent="0.25">
      <c r="A526" s="131"/>
      <c r="B526" s="136" t="s">
        <v>237</v>
      </c>
      <c r="C526" s="376" t="s">
        <v>299</v>
      </c>
      <c r="D526" s="16" t="s">
        <v>388</v>
      </c>
      <c r="E526" s="13"/>
      <c r="F526" s="2">
        <f>F527+F530+F529+F528/4</f>
        <v>111075</v>
      </c>
      <c r="G526" s="2"/>
      <c r="H526" s="2"/>
      <c r="I526" s="2"/>
    </row>
    <row r="527" spans="1:35" s="145" customFormat="1" hidden="1" x14ac:dyDescent="0.25">
      <c r="A527" s="131"/>
      <c r="B527" s="136" t="s">
        <v>237</v>
      </c>
      <c r="C527" s="376" t="s">
        <v>299</v>
      </c>
      <c r="D527" s="15" t="s">
        <v>389</v>
      </c>
      <c r="E527" s="13"/>
      <c r="F527" s="17">
        <v>49000</v>
      </c>
      <c r="G527" s="10"/>
      <c r="H527" s="10"/>
      <c r="I527" s="10"/>
    </row>
    <row r="528" spans="1:35" s="145" customFormat="1" ht="30" hidden="1" x14ac:dyDescent="0.25">
      <c r="A528" s="131"/>
      <c r="B528" s="136" t="s">
        <v>237</v>
      </c>
      <c r="C528" s="376" t="s">
        <v>299</v>
      </c>
      <c r="D528" s="15" t="s">
        <v>390</v>
      </c>
      <c r="E528" s="13"/>
      <c r="F528" s="2">
        <v>300</v>
      </c>
      <c r="G528" s="2"/>
      <c r="H528" s="2"/>
      <c r="I528" s="2"/>
    </row>
    <row r="529" spans="1:9" s="145" customFormat="1" ht="45" hidden="1" x14ac:dyDescent="0.25">
      <c r="A529" s="131"/>
      <c r="B529" s="136" t="s">
        <v>237</v>
      </c>
      <c r="C529" s="376" t="s">
        <v>299</v>
      </c>
      <c r="D529" s="15" t="s">
        <v>391</v>
      </c>
      <c r="E529" s="13"/>
      <c r="F529" s="2">
        <v>43000</v>
      </c>
      <c r="G529" s="2"/>
      <c r="H529" s="2"/>
      <c r="I529" s="2"/>
    </row>
    <row r="530" spans="1:9" s="145" customFormat="1" ht="60" hidden="1" x14ac:dyDescent="0.25">
      <c r="A530" s="131"/>
      <c r="B530" s="136"/>
      <c r="C530" s="376"/>
      <c r="D530" s="15" t="s">
        <v>403</v>
      </c>
      <c r="E530" s="13"/>
      <c r="F530" s="2">
        <v>19000</v>
      </c>
      <c r="G530" s="2"/>
      <c r="H530" s="2"/>
      <c r="I530" s="2"/>
    </row>
    <row r="531" spans="1:9" s="145" customFormat="1" ht="45" hidden="1" x14ac:dyDescent="0.25">
      <c r="A531" s="131"/>
      <c r="B531" s="136" t="s">
        <v>237</v>
      </c>
      <c r="C531" s="376" t="s">
        <v>299</v>
      </c>
      <c r="D531" s="15" t="s">
        <v>392</v>
      </c>
      <c r="E531" s="13"/>
      <c r="F531" s="2"/>
      <c r="G531" s="2"/>
      <c r="H531" s="2"/>
      <c r="I531" s="2"/>
    </row>
    <row r="532" spans="1:9" s="145" customFormat="1" ht="45" hidden="1" x14ac:dyDescent="0.25">
      <c r="A532" s="131"/>
      <c r="B532" s="136" t="s">
        <v>237</v>
      </c>
      <c r="C532" s="376" t="s">
        <v>299</v>
      </c>
      <c r="D532" s="15" t="s">
        <v>393</v>
      </c>
      <c r="E532" s="13"/>
      <c r="F532" s="2">
        <v>10000</v>
      </c>
      <c r="G532" s="2"/>
      <c r="H532" s="2"/>
      <c r="I532" s="2"/>
    </row>
    <row r="533" spans="1:9" s="145" customFormat="1" ht="75" hidden="1" x14ac:dyDescent="0.25">
      <c r="A533" s="131"/>
      <c r="B533" s="136" t="s">
        <v>237</v>
      </c>
      <c r="C533" s="376" t="s">
        <v>299</v>
      </c>
      <c r="D533" s="18" t="s">
        <v>394</v>
      </c>
      <c r="E533" s="13"/>
      <c r="F533" s="2"/>
      <c r="G533" s="2"/>
      <c r="H533" s="2"/>
      <c r="I533" s="2"/>
    </row>
    <row r="534" spans="1:9" s="145" customFormat="1" ht="28.5" hidden="1" x14ac:dyDescent="0.25">
      <c r="A534" s="131"/>
      <c r="B534" s="136"/>
      <c r="C534" s="376"/>
      <c r="D534" s="617" t="s">
        <v>422</v>
      </c>
      <c r="E534" s="13"/>
      <c r="F534" s="29">
        <f>F535+F536</f>
        <v>10</v>
      </c>
      <c r="G534" s="2"/>
      <c r="H534" s="2"/>
      <c r="I534" s="2"/>
    </row>
    <row r="535" spans="1:9" s="145" customFormat="1" hidden="1" x14ac:dyDescent="0.25">
      <c r="A535" s="131"/>
      <c r="B535" s="136"/>
      <c r="C535" s="376"/>
      <c r="D535" s="18" t="s">
        <v>423</v>
      </c>
      <c r="E535" s="13"/>
      <c r="F535" s="29">
        <v>5</v>
      </c>
      <c r="G535" s="2"/>
      <c r="H535" s="2"/>
      <c r="I535" s="2"/>
    </row>
    <row r="536" spans="1:9" s="145" customFormat="1" hidden="1" x14ac:dyDescent="0.25">
      <c r="A536" s="131"/>
      <c r="B536" s="136"/>
      <c r="C536" s="376"/>
      <c r="D536" s="18" t="s">
        <v>424</v>
      </c>
      <c r="E536" s="13"/>
      <c r="F536" s="2">
        <v>5</v>
      </c>
      <c r="G536" s="2"/>
      <c r="H536" s="2"/>
      <c r="I536" s="2"/>
    </row>
    <row r="537" spans="1:9" s="145" customFormat="1" hidden="1" x14ac:dyDescent="0.25">
      <c r="A537" s="131"/>
      <c r="B537" s="136" t="s">
        <v>237</v>
      </c>
      <c r="C537" s="376" t="s">
        <v>299</v>
      </c>
      <c r="D537" s="14" t="s">
        <v>253</v>
      </c>
      <c r="E537" s="13"/>
      <c r="F537" s="29">
        <f>F538+F539</f>
        <v>13480</v>
      </c>
      <c r="G537" s="2"/>
      <c r="H537" s="2"/>
      <c r="I537" s="2"/>
    </row>
    <row r="538" spans="1:9" s="145" customFormat="1" hidden="1" x14ac:dyDescent="0.25">
      <c r="A538" s="131"/>
      <c r="B538" s="136" t="s">
        <v>237</v>
      </c>
      <c r="C538" s="376" t="s">
        <v>299</v>
      </c>
      <c r="D538" s="14" t="s">
        <v>254</v>
      </c>
      <c r="E538" s="13"/>
      <c r="F538" s="2">
        <v>12500</v>
      </c>
      <c r="G538" s="2"/>
      <c r="H538" s="2"/>
      <c r="I538" s="2"/>
    </row>
    <row r="539" spans="1:9" s="145" customFormat="1" hidden="1" x14ac:dyDescent="0.25">
      <c r="A539" s="131"/>
      <c r="B539" s="136" t="s">
        <v>237</v>
      </c>
      <c r="C539" s="376" t="s">
        <v>299</v>
      </c>
      <c r="D539" s="15" t="s">
        <v>255</v>
      </c>
      <c r="E539" s="13"/>
      <c r="F539" s="2">
        <f>F540/9.4</f>
        <v>980</v>
      </c>
      <c r="G539" s="2"/>
      <c r="H539" s="2"/>
      <c r="I539" s="2"/>
    </row>
    <row r="540" spans="1:9" s="145" customFormat="1" hidden="1" x14ac:dyDescent="0.25">
      <c r="A540" s="131"/>
      <c r="B540" s="136" t="s">
        <v>237</v>
      </c>
      <c r="C540" s="376" t="s">
        <v>299</v>
      </c>
      <c r="D540" s="42" t="s">
        <v>261</v>
      </c>
      <c r="E540" s="13"/>
      <c r="F540" s="2">
        <v>9212</v>
      </c>
      <c r="G540" s="2"/>
      <c r="H540" s="2"/>
      <c r="I540" s="2"/>
    </row>
    <row r="541" spans="1:9" s="145" customFormat="1" ht="29.25" hidden="1" x14ac:dyDescent="0.25">
      <c r="A541" s="131"/>
      <c r="B541" s="136" t="s">
        <v>237</v>
      </c>
      <c r="C541" s="376" t="s">
        <v>299</v>
      </c>
      <c r="D541" s="14" t="s">
        <v>256</v>
      </c>
      <c r="E541" s="13"/>
      <c r="F541" s="2"/>
      <c r="G541" s="2"/>
      <c r="H541" s="2"/>
      <c r="I541" s="2"/>
    </row>
    <row r="542" spans="1:9" s="145" customFormat="1" hidden="1" x14ac:dyDescent="0.25">
      <c r="A542" s="131"/>
      <c r="B542" s="136" t="s">
        <v>237</v>
      </c>
      <c r="C542" s="376" t="s">
        <v>299</v>
      </c>
      <c r="D542" s="19" t="s">
        <v>117</v>
      </c>
      <c r="E542" s="13"/>
      <c r="F542" s="2"/>
      <c r="G542" s="2"/>
      <c r="H542" s="2"/>
      <c r="I542" s="2"/>
    </row>
    <row r="543" spans="1:9" s="145" customFormat="1" ht="57.75" hidden="1" x14ac:dyDescent="0.25">
      <c r="A543" s="131"/>
      <c r="B543" s="136" t="s">
        <v>237</v>
      </c>
      <c r="C543" s="376" t="s">
        <v>299</v>
      </c>
      <c r="D543" s="14" t="s">
        <v>257</v>
      </c>
      <c r="E543" s="13"/>
      <c r="F543" s="2"/>
      <c r="G543" s="2"/>
      <c r="H543" s="2"/>
      <c r="I543" s="2"/>
    </row>
    <row r="544" spans="1:9" s="145" customFormat="1" hidden="1" x14ac:dyDescent="0.25">
      <c r="A544" s="131">
        <v>1</v>
      </c>
      <c r="B544" s="136" t="s">
        <v>237</v>
      </c>
      <c r="C544" s="376" t="s">
        <v>299</v>
      </c>
      <c r="D544" s="20" t="s">
        <v>165</v>
      </c>
      <c r="E544" s="17"/>
      <c r="F544" s="13">
        <f>SUM(F545:F583)</f>
        <v>446065</v>
      </c>
      <c r="G544" s="17"/>
      <c r="H544" s="17"/>
      <c r="I544" s="17"/>
    </row>
    <row r="545" spans="1:9" s="145" customFormat="1" ht="30" hidden="1" x14ac:dyDescent="0.25">
      <c r="A545" s="131"/>
      <c r="B545" s="136" t="s">
        <v>237</v>
      </c>
      <c r="C545" s="376" t="s">
        <v>299</v>
      </c>
      <c r="D545" s="35" t="s">
        <v>124</v>
      </c>
      <c r="E545" s="17"/>
      <c r="F545" s="2">
        <v>190000</v>
      </c>
      <c r="G545" s="17"/>
      <c r="H545" s="17"/>
      <c r="I545" s="17"/>
    </row>
    <row r="546" spans="1:9" s="145" customFormat="1" ht="30" hidden="1" x14ac:dyDescent="0.25">
      <c r="A546" s="131"/>
      <c r="B546" s="136" t="s">
        <v>237</v>
      </c>
      <c r="C546" s="376" t="s">
        <v>299</v>
      </c>
      <c r="D546" s="35" t="s">
        <v>125</v>
      </c>
      <c r="E546" s="17"/>
      <c r="F546" s="2">
        <v>20000</v>
      </c>
      <c r="G546" s="17"/>
      <c r="H546" s="17"/>
      <c r="I546" s="17"/>
    </row>
    <row r="547" spans="1:9" s="145" customFormat="1" ht="30" hidden="1" x14ac:dyDescent="0.25">
      <c r="A547" s="131"/>
      <c r="B547" s="136"/>
      <c r="C547" s="376" t="s">
        <v>299</v>
      </c>
      <c r="D547" s="35" t="s">
        <v>289</v>
      </c>
      <c r="E547" s="17"/>
      <c r="F547" s="2">
        <v>10</v>
      </c>
      <c r="G547" s="17"/>
      <c r="H547" s="17"/>
      <c r="I547" s="17"/>
    </row>
    <row r="548" spans="1:9" s="145" customFormat="1" hidden="1" x14ac:dyDescent="0.25">
      <c r="A548" s="131">
        <v>1</v>
      </c>
      <c r="B548" s="136" t="s">
        <v>237</v>
      </c>
      <c r="C548" s="376" t="s">
        <v>299</v>
      </c>
      <c r="D548" s="35" t="s">
        <v>134</v>
      </c>
      <c r="E548" s="17"/>
      <c r="F548" s="2">
        <v>800</v>
      </c>
      <c r="G548" s="17"/>
      <c r="H548" s="17"/>
      <c r="I548" s="17"/>
    </row>
    <row r="549" spans="1:9" s="145" customFormat="1" hidden="1" x14ac:dyDescent="0.25">
      <c r="A549" s="131">
        <v>1</v>
      </c>
      <c r="B549" s="136" t="s">
        <v>237</v>
      </c>
      <c r="C549" s="376" t="s">
        <v>299</v>
      </c>
      <c r="D549" s="35" t="s">
        <v>214</v>
      </c>
      <c r="E549" s="17"/>
      <c r="F549" s="2">
        <v>800</v>
      </c>
      <c r="G549" s="17"/>
      <c r="H549" s="17"/>
      <c r="I549" s="17"/>
    </row>
    <row r="550" spans="1:9" s="145" customFormat="1" ht="30" hidden="1" x14ac:dyDescent="0.25">
      <c r="A550" s="131">
        <v>1</v>
      </c>
      <c r="B550" s="136" t="s">
        <v>237</v>
      </c>
      <c r="C550" s="376" t="s">
        <v>299</v>
      </c>
      <c r="D550" s="35" t="s">
        <v>135</v>
      </c>
      <c r="E550" s="17"/>
      <c r="F550" s="2">
        <v>7000</v>
      </c>
      <c r="G550" s="17"/>
      <c r="H550" s="17"/>
      <c r="I550" s="17"/>
    </row>
    <row r="551" spans="1:9" s="145" customFormat="1" hidden="1" x14ac:dyDescent="0.25">
      <c r="A551" s="131">
        <v>1</v>
      </c>
      <c r="B551" s="136" t="s">
        <v>237</v>
      </c>
      <c r="C551" s="376" t="s">
        <v>299</v>
      </c>
      <c r="D551" s="35" t="s">
        <v>53</v>
      </c>
      <c r="E551" s="17"/>
      <c r="F551" s="2">
        <v>45000</v>
      </c>
      <c r="G551" s="17"/>
      <c r="H551" s="17"/>
      <c r="I551" s="17"/>
    </row>
    <row r="552" spans="1:9" s="145" customFormat="1" ht="60" hidden="1" x14ac:dyDescent="0.25">
      <c r="A552" s="131">
        <v>1</v>
      </c>
      <c r="B552" s="136" t="s">
        <v>237</v>
      </c>
      <c r="C552" s="376" t="s">
        <v>299</v>
      </c>
      <c r="D552" s="35" t="s">
        <v>155</v>
      </c>
      <c r="E552" s="17"/>
      <c r="F552" s="2">
        <v>170</v>
      </c>
      <c r="G552" s="17"/>
      <c r="H552" s="17"/>
      <c r="I552" s="17"/>
    </row>
    <row r="553" spans="1:9" s="145" customFormat="1" ht="60" hidden="1" x14ac:dyDescent="0.25">
      <c r="A553" s="131">
        <v>1</v>
      </c>
      <c r="B553" s="136" t="s">
        <v>237</v>
      </c>
      <c r="C553" s="376" t="s">
        <v>299</v>
      </c>
      <c r="D553" s="35" t="s">
        <v>154</v>
      </c>
      <c r="E553" s="17"/>
      <c r="F553" s="2">
        <v>20</v>
      </c>
      <c r="G553" s="17"/>
      <c r="H553" s="17"/>
      <c r="I553" s="17"/>
    </row>
    <row r="554" spans="1:9" s="145" customFormat="1" hidden="1" x14ac:dyDescent="0.25">
      <c r="A554" s="131">
        <v>1</v>
      </c>
      <c r="B554" s="136" t="s">
        <v>237</v>
      </c>
      <c r="C554" s="376" t="s">
        <v>299</v>
      </c>
      <c r="D554" s="35" t="s">
        <v>62</v>
      </c>
      <c r="E554" s="17"/>
      <c r="F554" s="2">
        <v>100</v>
      </c>
      <c r="G554" s="17"/>
      <c r="H554" s="17"/>
      <c r="I554" s="17"/>
    </row>
    <row r="555" spans="1:9" s="145" customFormat="1" hidden="1" x14ac:dyDescent="0.25">
      <c r="A555" s="131">
        <v>1</v>
      </c>
      <c r="B555" s="136" t="s">
        <v>237</v>
      </c>
      <c r="C555" s="376" t="s">
        <v>299</v>
      </c>
      <c r="D555" s="35" t="s">
        <v>17</v>
      </c>
      <c r="E555" s="17"/>
      <c r="F555" s="2">
        <v>3200</v>
      </c>
      <c r="G555" s="17"/>
      <c r="H555" s="17"/>
      <c r="I555" s="17"/>
    </row>
    <row r="556" spans="1:9" s="145" customFormat="1" ht="30" hidden="1" x14ac:dyDescent="0.25">
      <c r="A556" s="131">
        <v>1</v>
      </c>
      <c r="B556" s="136" t="s">
        <v>237</v>
      </c>
      <c r="C556" s="376" t="s">
        <v>299</v>
      </c>
      <c r="D556" s="35" t="s">
        <v>139</v>
      </c>
      <c r="E556" s="17"/>
      <c r="F556" s="2">
        <v>1000</v>
      </c>
      <c r="G556" s="17"/>
      <c r="H556" s="17"/>
      <c r="I556" s="17"/>
    </row>
    <row r="557" spans="1:9" s="145" customFormat="1" hidden="1" x14ac:dyDescent="0.25">
      <c r="A557" s="131">
        <v>1</v>
      </c>
      <c r="B557" s="136" t="s">
        <v>237</v>
      </c>
      <c r="C557" s="376" t="s">
        <v>299</v>
      </c>
      <c r="D557" s="35" t="s">
        <v>147</v>
      </c>
      <c r="E557" s="17"/>
      <c r="F557" s="2">
        <v>60000</v>
      </c>
      <c r="G557" s="17"/>
      <c r="H557" s="17"/>
      <c r="I557" s="17"/>
    </row>
    <row r="558" spans="1:9" s="145" customFormat="1" hidden="1" x14ac:dyDescent="0.25">
      <c r="A558" s="131">
        <v>1</v>
      </c>
      <c r="B558" s="136" t="s">
        <v>237</v>
      </c>
      <c r="C558" s="376" t="s">
        <v>299</v>
      </c>
      <c r="D558" s="35" t="s">
        <v>141</v>
      </c>
      <c r="E558" s="17"/>
      <c r="F558" s="2">
        <v>200</v>
      </c>
      <c r="G558" s="17"/>
      <c r="H558" s="17"/>
      <c r="I558" s="17"/>
    </row>
    <row r="559" spans="1:9" s="145" customFormat="1" ht="60" hidden="1" x14ac:dyDescent="0.25">
      <c r="A559" s="131">
        <v>1</v>
      </c>
      <c r="B559" s="136" t="s">
        <v>237</v>
      </c>
      <c r="C559" s="376" t="s">
        <v>299</v>
      </c>
      <c r="D559" s="35" t="s">
        <v>206</v>
      </c>
      <c r="E559" s="17"/>
      <c r="F559" s="2">
        <v>50</v>
      </c>
      <c r="G559" s="17"/>
      <c r="H559" s="17"/>
      <c r="I559" s="17"/>
    </row>
    <row r="560" spans="1:9" s="145" customFormat="1" hidden="1" x14ac:dyDescent="0.25">
      <c r="A560" s="131">
        <v>1</v>
      </c>
      <c r="B560" s="136" t="s">
        <v>237</v>
      </c>
      <c r="C560" s="376" t="s">
        <v>299</v>
      </c>
      <c r="D560" s="35" t="s">
        <v>416</v>
      </c>
      <c r="E560" s="17"/>
      <c r="F560" s="2">
        <v>5600</v>
      </c>
      <c r="G560" s="17"/>
      <c r="H560" s="17"/>
      <c r="I560" s="17"/>
    </row>
    <row r="561" spans="1:9" s="145" customFormat="1" hidden="1" x14ac:dyDescent="0.25">
      <c r="A561" s="131">
        <v>1</v>
      </c>
      <c r="B561" s="136" t="s">
        <v>237</v>
      </c>
      <c r="C561" s="376" t="s">
        <v>299</v>
      </c>
      <c r="D561" s="35" t="s">
        <v>123</v>
      </c>
      <c r="E561" s="17"/>
      <c r="F561" s="2">
        <v>250</v>
      </c>
      <c r="G561" s="17"/>
      <c r="H561" s="17"/>
      <c r="I561" s="17"/>
    </row>
    <row r="562" spans="1:9" s="145" customFormat="1" ht="30" hidden="1" x14ac:dyDescent="0.25">
      <c r="A562" s="131"/>
      <c r="B562" s="136"/>
      <c r="C562" s="376"/>
      <c r="D562" s="35" t="s">
        <v>95</v>
      </c>
      <c r="E562" s="17"/>
      <c r="F562" s="2">
        <v>500</v>
      </c>
      <c r="G562" s="17"/>
      <c r="H562" s="17"/>
      <c r="I562" s="17"/>
    </row>
    <row r="563" spans="1:9" s="145" customFormat="1" ht="30" hidden="1" x14ac:dyDescent="0.25">
      <c r="A563" s="131"/>
      <c r="B563" s="136"/>
      <c r="C563" s="376"/>
      <c r="D563" s="32" t="s">
        <v>146</v>
      </c>
      <c r="E563" s="17"/>
      <c r="F563" s="2">
        <v>500</v>
      </c>
      <c r="G563" s="17"/>
      <c r="H563" s="17"/>
      <c r="I563" s="17"/>
    </row>
    <row r="564" spans="1:9" s="145" customFormat="1" hidden="1" x14ac:dyDescent="0.25">
      <c r="A564" s="131">
        <v>1</v>
      </c>
      <c r="B564" s="136" t="s">
        <v>237</v>
      </c>
      <c r="C564" s="376" t="s">
        <v>299</v>
      </c>
      <c r="D564" s="35" t="s">
        <v>142</v>
      </c>
      <c r="E564" s="17"/>
      <c r="F564" s="2">
        <v>300</v>
      </c>
      <c r="G564" s="17"/>
      <c r="H564" s="17"/>
      <c r="I564" s="17"/>
    </row>
    <row r="565" spans="1:9" s="145" customFormat="1" hidden="1" x14ac:dyDescent="0.25">
      <c r="A565" s="131">
        <v>1</v>
      </c>
      <c r="B565" s="136" t="s">
        <v>237</v>
      </c>
      <c r="C565" s="376" t="s">
        <v>299</v>
      </c>
      <c r="D565" s="35" t="s">
        <v>101</v>
      </c>
      <c r="E565" s="17"/>
      <c r="F565" s="2">
        <v>1000</v>
      </c>
      <c r="G565" s="17"/>
      <c r="H565" s="17"/>
      <c r="I565" s="17"/>
    </row>
    <row r="566" spans="1:9" s="145" customFormat="1" hidden="1" x14ac:dyDescent="0.25">
      <c r="A566" s="131">
        <v>1</v>
      </c>
      <c r="B566" s="136" t="s">
        <v>237</v>
      </c>
      <c r="C566" s="376" t="s">
        <v>299</v>
      </c>
      <c r="D566" s="35" t="s">
        <v>50</v>
      </c>
      <c r="E566" s="17"/>
      <c r="F566" s="2">
        <v>7000</v>
      </c>
      <c r="G566" s="17"/>
      <c r="H566" s="17"/>
      <c r="I566" s="17"/>
    </row>
    <row r="567" spans="1:9" s="145" customFormat="1" hidden="1" x14ac:dyDescent="0.25">
      <c r="A567" s="131">
        <v>1</v>
      </c>
      <c r="B567" s="136" t="s">
        <v>237</v>
      </c>
      <c r="C567" s="376" t="s">
        <v>299</v>
      </c>
      <c r="D567" s="35" t="s">
        <v>136</v>
      </c>
      <c r="E567" s="17"/>
      <c r="F567" s="2">
        <v>4500</v>
      </c>
      <c r="G567" s="17"/>
      <c r="H567" s="17"/>
      <c r="I567" s="17"/>
    </row>
    <row r="568" spans="1:9" s="145" customFormat="1" hidden="1" x14ac:dyDescent="0.25">
      <c r="A568" s="131">
        <v>1</v>
      </c>
      <c r="B568" s="136" t="s">
        <v>237</v>
      </c>
      <c r="C568" s="376" t="s">
        <v>299</v>
      </c>
      <c r="D568" s="35" t="s">
        <v>54</v>
      </c>
      <c r="E568" s="17"/>
      <c r="F568" s="2">
        <v>2500</v>
      </c>
      <c r="G568" s="17"/>
      <c r="H568" s="17"/>
      <c r="I568" s="17"/>
    </row>
    <row r="569" spans="1:9" s="145" customFormat="1" hidden="1" x14ac:dyDescent="0.25">
      <c r="A569" s="131">
        <v>1</v>
      </c>
      <c r="B569" s="136" t="s">
        <v>237</v>
      </c>
      <c r="C569" s="376" t="s">
        <v>299</v>
      </c>
      <c r="D569" s="35" t="s">
        <v>52</v>
      </c>
      <c r="E569" s="17"/>
      <c r="F569" s="2">
        <v>3050</v>
      </c>
      <c r="G569" s="17"/>
      <c r="H569" s="17"/>
      <c r="I569" s="17"/>
    </row>
    <row r="570" spans="1:9" s="145" customFormat="1" ht="30" hidden="1" x14ac:dyDescent="0.25">
      <c r="A570" s="131">
        <v>1</v>
      </c>
      <c r="B570" s="136" t="s">
        <v>237</v>
      </c>
      <c r="C570" s="376" t="s">
        <v>299</v>
      </c>
      <c r="D570" s="35" t="s">
        <v>102</v>
      </c>
      <c r="E570" s="17"/>
      <c r="F570" s="2">
        <v>1230</v>
      </c>
      <c r="G570" s="17"/>
      <c r="H570" s="17"/>
      <c r="I570" s="17"/>
    </row>
    <row r="571" spans="1:9" s="145" customFormat="1" hidden="1" x14ac:dyDescent="0.25">
      <c r="A571" s="131">
        <v>1</v>
      </c>
      <c r="B571" s="136" t="s">
        <v>237</v>
      </c>
      <c r="C571" s="376" t="s">
        <v>299</v>
      </c>
      <c r="D571" s="35" t="s">
        <v>188</v>
      </c>
      <c r="E571" s="17"/>
      <c r="F571" s="2">
        <v>22000</v>
      </c>
      <c r="G571" s="17"/>
      <c r="H571" s="17"/>
      <c r="I571" s="17"/>
    </row>
    <row r="572" spans="1:9" s="145" customFormat="1" ht="30" hidden="1" x14ac:dyDescent="0.25">
      <c r="A572" s="131">
        <v>1</v>
      </c>
      <c r="B572" s="136" t="s">
        <v>237</v>
      </c>
      <c r="C572" s="376" t="s">
        <v>299</v>
      </c>
      <c r="D572" s="35" t="s">
        <v>200</v>
      </c>
      <c r="E572" s="17"/>
      <c r="F572" s="2">
        <v>8000</v>
      </c>
      <c r="G572" s="17"/>
      <c r="H572" s="17"/>
      <c r="I572" s="17"/>
    </row>
    <row r="573" spans="1:9" s="145" customFormat="1" ht="30" hidden="1" x14ac:dyDescent="0.25">
      <c r="A573" s="131">
        <v>1</v>
      </c>
      <c r="B573" s="136" t="s">
        <v>237</v>
      </c>
      <c r="C573" s="376" t="s">
        <v>299</v>
      </c>
      <c r="D573" s="35" t="s">
        <v>199</v>
      </c>
      <c r="E573" s="17"/>
      <c r="F573" s="2">
        <v>1900</v>
      </c>
      <c r="G573" s="17"/>
      <c r="H573" s="17"/>
      <c r="I573" s="17"/>
    </row>
    <row r="574" spans="1:9" s="145" customFormat="1" hidden="1" x14ac:dyDescent="0.25">
      <c r="A574" s="131">
        <v>1</v>
      </c>
      <c r="B574" s="136" t="s">
        <v>237</v>
      </c>
      <c r="C574" s="376" t="s">
        <v>299</v>
      </c>
      <c r="D574" s="35" t="s">
        <v>137</v>
      </c>
      <c r="E574" s="17"/>
      <c r="F574" s="2">
        <v>55</v>
      </c>
      <c r="G574" s="17"/>
      <c r="H574" s="17"/>
      <c r="I574" s="17"/>
    </row>
    <row r="575" spans="1:9" s="145" customFormat="1" hidden="1" x14ac:dyDescent="0.25">
      <c r="A575" s="131">
        <v>1</v>
      </c>
      <c r="B575" s="136" t="s">
        <v>237</v>
      </c>
      <c r="C575" s="376" t="s">
        <v>299</v>
      </c>
      <c r="D575" s="35" t="s">
        <v>31</v>
      </c>
      <c r="E575" s="17"/>
      <c r="F575" s="2">
        <v>25000</v>
      </c>
      <c r="G575" s="17"/>
      <c r="H575" s="17"/>
      <c r="I575" s="17"/>
    </row>
    <row r="576" spans="1:9" s="145" customFormat="1" hidden="1" x14ac:dyDescent="0.25">
      <c r="A576" s="131">
        <v>1</v>
      </c>
      <c r="B576" s="136" t="s">
        <v>237</v>
      </c>
      <c r="C576" s="376" t="s">
        <v>299</v>
      </c>
      <c r="D576" s="35" t="s">
        <v>15</v>
      </c>
      <c r="E576" s="17"/>
      <c r="F576" s="2">
        <v>2730</v>
      </c>
      <c r="G576" s="17"/>
      <c r="H576" s="17"/>
      <c r="I576" s="17"/>
    </row>
    <row r="577" spans="1:35" s="145" customFormat="1" hidden="1" x14ac:dyDescent="0.25">
      <c r="A577" s="131">
        <v>1</v>
      </c>
      <c r="B577" s="136" t="s">
        <v>237</v>
      </c>
      <c r="C577" s="376" t="s">
        <v>299</v>
      </c>
      <c r="D577" s="654" t="s">
        <v>27</v>
      </c>
      <c r="E577" s="17"/>
      <c r="F577" s="2">
        <v>5000</v>
      </c>
      <c r="G577" s="17"/>
      <c r="H577" s="17"/>
      <c r="I577" s="17"/>
    </row>
    <row r="578" spans="1:35" s="145" customFormat="1" hidden="1" x14ac:dyDescent="0.25">
      <c r="A578" s="131">
        <v>1</v>
      </c>
      <c r="B578" s="136" t="s">
        <v>237</v>
      </c>
      <c r="C578" s="376" t="s">
        <v>299</v>
      </c>
      <c r="D578" s="35" t="s">
        <v>143</v>
      </c>
      <c r="E578" s="17"/>
      <c r="F578" s="2">
        <v>50</v>
      </c>
      <c r="G578" s="17"/>
      <c r="H578" s="17"/>
      <c r="I578" s="17"/>
    </row>
    <row r="579" spans="1:35" s="145" customFormat="1" hidden="1" x14ac:dyDescent="0.25">
      <c r="A579" s="131"/>
      <c r="B579" s="136" t="s">
        <v>237</v>
      </c>
      <c r="C579" s="376" t="s">
        <v>299</v>
      </c>
      <c r="D579" s="35" t="s">
        <v>51</v>
      </c>
      <c r="E579" s="17"/>
      <c r="F579" s="2">
        <v>16500</v>
      </c>
      <c r="G579" s="17"/>
      <c r="H579" s="17"/>
      <c r="I579" s="17"/>
    </row>
    <row r="580" spans="1:35" s="145" customFormat="1" hidden="1" x14ac:dyDescent="0.25">
      <c r="A580" s="131"/>
      <c r="B580" s="136" t="s">
        <v>237</v>
      </c>
      <c r="C580" s="376" t="s">
        <v>299</v>
      </c>
      <c r="D580" s="35" t="s">
        <v>138</v>
      </c>
      <c r="E580" s="17"/>
      <c r="F580" s="2">
        <v>700</v>
      </c>
      <c r="G580" s="17"/>
      <c r="H580" s="17"/>
      <c r="I580" s="17"/>
    </row>
    <row r="581" spans="1:35" s="145" customFormat="1" hidden="1" x14ac:dyDescent="0.25">
      <c r="A581" s="131">
        <v>1</v>
      </c>
      <c r="B581" s="136" t="s">
        <v>237</v>
      </c>
      <c r="C581" s="376" t="s">
        <v>299</v>
      </c>
      <c r="D581" s="35" t="s">
        <v>122</v>
      </c>
      <c r="E581" s="17"/>
      <c r="F581" s="2">
        <v>350</v>
      </c>
      <c r="G581" s="17"/>
      <c r="H581" s="17"/>
      <c r="I581" s="17"/>
    </row>
    <row r="582" spans="1:35" s="145" customFormat="1" hidden="1" x14ac:dyDescent="0.25">
      <c r="A582" s="131">
        <v>1</v>
      </c>
      <c r="B582" s="136" t="s">
        <v>237</v>
      </c>
      <c r="C582" s="376" t="s">
        <v>299</v>
      </c>
      <c r="D582" s="35" t="s">
        <v>100</v>
      </c>
      <c r="E582" s="655"/>
      <c r="F582" s="2">
        <v>3000</v>
      </c>
      <c r="G582" s="655"/>
      <c r="H582" s="655"/>
      <c r="I582" s="655"/>
    </row>
    <row r="583" spans="1:35" s="145" customFormat="1" hidden="1" x14ac:dyDescent="0.25">
      <c r="A583" s="131"/>
      <c r="B583" s="136"/>
      <c r="C583" s="376" t="s">
        <v>299</v>
      </c>
      <c r="D583" s="656" t="s">
        <v>119</v>
      </c>
      <c r="E583" s="17"/>
      <c r="F583" s="412">
        <v>6000</v>
      </c>
      <c r="G583" s="17"/>
      <c r="H583" s="17"/>
      <c r="I583" s="657"/>
    </row>
    <row r="584" spans="1:35" s="145" customFormat="1" hidden="1" x14ac:dyDescent="0.25">
      <c r="A584" s="131"/>
      <c r="B584" s="136" t="s">
        <v>237</v>
      </c>
      <c r="C584" s="376" t="s">
        <v>299</v>
      </c>
      <c r="D584" s="21" t="s">
        <v>195</v>
      </c>
      <c r="E584" s="657"/>
      <c r="F584" s="28">
        <f>F524</f>
        <v>132125</v>
      </c>
      <c r="G584" s="17"/>
      <c r="H584" s="657"/>
      <c r="I584" s="17"/>
    </row>
    <row r="585" spans="1:35" s="145" customFormat="1" ht="29.25" hidden="1" x14ac:dyDescent="0.25">
      <c r="A585" s="131"/>
      <c r="B585" s="136" t="s">
        <v>237</v>
      </c>
      <c r="C585" s="376" t="s">
        <v>299</v>
      </c>
      <c r="D585" s="21" t="s">
        <v>196</v>
      </c>
      <c r="E585" s="17"/>
      <c r="F585" s="28"/>
      <c r="G585" s="657"/>
      <c r="H585" s="17"/>
      <c r="I585" s="17"/>
    </row>
    <row r="586" spans="1:35" s="145" customFormat="1" hidden="1" x14ac:dyDescent="0.25">
      <c r="A586" s="131"/>
      <c r="B586" s="136" t="s">
        <v>237</v>
      </c>
      <c r="C586" s="376" t="s">
        <v>299</v>
      </c>
      <c r="D586" s="21" t="s">
        <v>197</v>
      </c>
      <c r="E586" s="655"/>
      <c r="F586" s="37">
        <f>F537</f>
        <v>13480</v>
      </c>
      <c r="G586" s="655"/>
      <c r="H586" s="655"/>
      <c r="I586" s="657"/>
    </row>
    <row r="587" spans="1:35" s="145" customFormat="1" ht="29.25" hidden="1" x14ac:dyDescent="0.25">
      <c r="A587" s="131"/>
      <c r="B587" s="136" t="s">
        <v>237</v>
      </c>
      <c r="C587" s="376" t="s">
        <v>299</v>
      </c>
      <c r="D587" s="21" t="s">
        <v>198</v>
      </c>
      <c r="E587" s="17"/>
      <c r="F587" s="28">
        <f>F541</f>
        <v>0</v>
      </c>
      <c r="G587" s="655"/>
      <c r="H587" s="655"/>
      <c r="I587" s="17"/>
    </row>
    <row r="588" spans="1:35" s="145" customFormat="1" hidden="1" x14ac:dyDescent="0.25">
      <c r="A588" s="131"/>
      <c r="B588" s="136" t="s">
        <v>237</v>
      </c>
      <c r="C588" s="376" t="s">
        <v>299</v>
      </c>
      <c r="D588" s="22" t="s">
        <v>112</v>
      </c>
      <c r="E588" s="657"/>
      <c r="F588" s="167">
        <f>F584+F538*2.1+F540/4.2</f>
        <v>160568.33333333334</v>
      </c>
      <c r="G588" s="658"/>
      <c r="H588" s="658"/>
      <c r="I588" s="657"/>
    </row>
    <row r="589" spans="1:35" ht="15.75" hidden="1" thickBot="1" x14ac:dyDescent="0.3">
      <c r="A589" s="131">
        <v>1</v>
      </c>
      <c r="B589" s="136" t="s">
        <v>237</v>
      </c>
      <c r="C589" s="376" t="s">
        <v>299</v>
      </c>
      <c r="D589" s="652" t="s">
        <v>213</v>
      </c>
      <c r="E589" s="653"/>
      <c r="F589" s="653"/>
      <c r="G589" s="653"/>
      <c r="H589" s="653"/>
      <c r="I589" s="653"/>
      <c r="J589" s="145"/>
      <c r="K589" s="145"/>
      <c r="L589" s="145"/>
      <c r="M589" s="145"/>
      <c r="N589" s="145"/>
      <c r="O589" s="145"/>
      <c r="P589" s="145"/>
      <c r="Q589" s="145"/>
      <c r="R589" s="145"/>
      <c r="S589" s="145"/>
      <c r="T589" s="145"/>
      <c r="U589" s="145"/>
      <c r="V589" s="145"/>
      <c r="W589" s="145"/>
      <c r="X589" s="145"/>
      <c r="Y589" s="145"/>
      <c r="Z589" s="145"/>
      <c r="AA589" s="145"/>
      <c r="AB589" s="145"/>
      <c r="AC589" s="145"/>
      <c r="AD589" s="145"/>
      <c r="AE589" s="145"/>
      <c r="AF589" s="145"/>
      <c r="AG589" s="145"/>
      <c r="AH589" s="145"/>
      <c r="AI589" s="145"/>
    </row>
    <row r="590" spans="1:35" hidden="1" x14ac:dyDescent="0.25">
      <c r="A590" s="131">
        <v>1</v>
      </c>
      <c r="C590" s="376" t="s">
        <v>299</v>
      </c>
      <c r="D590" s="274"/>
      <c r="E590" s="399"/>
      <c r="F590" s="659"/>
      <c r="G590" s="399"/>
      <c r="H590" s="399"/>
      <c r="I590" s="399"/>
      <c r="J590" s="145"/>
      <c r="K590" s="145"/>
      <c r="L590" s="145"/>
      <c r="M590" s="145"/>
      <c r="N590" s="145"/>
      <c r="O590" s="145"/>
      <c r="P590" s="145"/>
      <c r="Q590" s="145"/>
      <c r="R590" s="145"/>
      <c r="S590" s="145"/>
      <c r="T590" s="145"/>
      <c r="U590" s="145"/>
      <c r="V590" s="145"/>
      <c r="W590" s="145"/>
      <c r="X590" s="145"/>
      <c r="Y590" s="145"/>
      <c r="Z590" s="145"/>
      <c r="AA590" s="145"/>
      <c r="AB590" s="145"/>
      <c r="AC590" s="145"/>
      <c r="AD590" s="145"/>
      <c r="AE590" s="145"/>
      <c r="AF590" s="145"/>
      <c r="AG590" s="145"/>
      <c r="AH590" s="145"/>
      <c r="AI590" s="145"/>
    </row>
    <row r="591" spans="1:35" ht="31.5" hidden="1" x14ac:dyDescent="0.25">
      <c r="A591" s="131">
        <v>1</v>
      </c>
      <c r="B591" s="136" t="s">
        <v>238</v>
      </c>
      <c r="C591" s="376" t="s">
        <v>299</v>
      </c>
      <c r="D591" s="763" t="s">
        <v>321</v>
      </c>
      <c r="E591" s="199"/>
      <c r="F591" s="2"/>
      <c r="G591" s="369"/>
      <c r="H591" s="369"/>
      <c r="I591" s="369"/>
      <c r="J591" s="145"/>
      <c r="K591" s="145"/>
      <c r="L591" s="145"/>
      <c r="M591" s="145"/>
      <c r="N591" s="145"/>
      <c r="O591" s="145"/>
      <c r="P591" s="145"/>
      <c r="Q591" s="145"/>
      <c r="R591" s="145"/>
      <c r="S591" s="145"/>
      <c r="T591" s="145"/>
      <c r="U591" s="145"/>
      <c r="V591" s="145"/>
      <c r="W591" s="145"/>
      <c r="X591" s="145"/>
      <c r="Y591" s="145"/>
      <c r="Z591" s="145"/>
      <c r="AA591" s="145"/>
      <c r="AB591" s="145"/>
      <c r="AC591" s="145"/>
      <c r="AD591" s="145"/>
      <c r="AE591" s="145"/>
      <c r="AF591" s="145"/>
      <c r="AG591" s="145"/>
      <c r="AH591" s="145"/>
      <c r="AI591" s="145"/>
    </row>
    <row r="592" spans="1:35" s="55" customFormat="1" hidden="1" x14ac:dyDescent="0.25">
      <c r="A592" s="131">
        <v>1</v>
      </c>
      <c r="B592" s="136" t="s">
        <v>238</v>
      </c>
      <c r="C592" s="376" t="s">
        <v>299</v>
      </c>
      <c r="D592" s="12" t="s">
        <v>250</v>
      </c>
      <c r="E592" s="12"/>
      <c r="F592" s="77"/>
      <c r="G592" s="54"/>
      <c r="H592" s="54"/>
      <c r="I592" s="54"/>
    </row>
    <row r="593" spans="1:9" s="55" customFormat="1" hidden="1" x14ac:dyDescent="0.25">
      <c r="A593" s="131"/>
      <c r="B593" s="136" t="s">
        <v>238</v>
      </c>
      <c r="C593" s="376" t="s">
        <v>299</v>
      </c>
      <c r="D593" s="14" t="s">
        <v>192</v>
      </c>
      <c r="E593" s="12"/>
      <c r="F593" s="77">
        <f>F595+F596+F597+F598</f>
        <v>7826</v>
      </c>
      <c r="G593" s="54"/>
      <c r="H593" s="54"/>
      <c r="I593" s="54"/>
    </row>
    <row r="594" spans="1:9" s="55" customFormat="1" hidden="1" x14ac:dyDescent="0.25">
      <c r="A594" s="131"/>
      <c r="B594" s="136" t="s">
        <v>238</v>
      </c>
      <c r="C594" s="376" t="s">
        <v>299</v>
      </c>
      <c r="D594" s="18" t="s">
        <v>116</v>
      </c>
      <c r="E594" s="12"/>
      <c r="F594" s="77"/>
      <c r="G594" s="54"/>
      <c r="H594" s="54"/>
      <c r="I594" s="54"/>
    </row>
    <row r="595" spans="1:9" s="55" customFormat="1" ht="30" hidden="1" x14ac:dyDescent="0.25">
      <c r="A595" s="131"/>
      <c r="B595" s="136" t="s">
        <v>238</v>
      </c>
      <c r="C595" s="376" t="s">
        <v>299</v>
      </c>
      <c r="D595" s="15" t="s">
        <v>397</v>
      </c>
      <c r="E595" s="12"/>
      <c r="F595" s="77">
        <v>3500</v>
      </c>
      <c r="G595" s="54"/>
      <c r="H595" s="54"/>
      <c r="I595" s="54"/>
    </row>
    <row r="596" spans="1:9" s="55" customFormat="1" ht="45" hidden="1" x14ac:dyDescent="0.25">
      <c r="A596" s="131"/>
      <c r="B596" s="136" t="s">
        <v>238</v>
      </c>
      <c r="C596" s="376" t="s">
        <v>299</v>
      </c>
      <c r="D596" s="15" t="s">
        <v>398</v>
      </c>
      <c r="E596" s="12"/>
      <c r="F596" s="62">
        <v>826</v>
      </c>
      <c r="G596" s="54"/>
      <c r="H596" s="54"/>
      <c r="I596" s="54"/>
    </row>
    <row r="597" spans="1:9" s="55" customFormat="1" ht="45" hidden="1" x14ac:dyDescent="0.25">
      <c r="A597" s="131"/>
      <c r="B597" s="136" t="s">
        <v>238</v>
      </c>
      <c r="C597" s="376" t="s">
        <v>299</v>
      </c>
      <c r="D597" s="15" t="s">
        <v>399</v>
      </c>
      <c r="E597" s="12"/>
      <c r="F597" s="62">
        <v>2000</v>
      </c>
      <c r="G597" s="54"/>
      <c r="H597" s="54"/>
      <c r="I597" s="54"/>
    </row>
    <row r="598" spans="1:9" s="55" customFormat="1" ht="75" hidden="1" x14ac:dyDescent="0.25">
      <c r="A598" s="131"/>
      <c r="B598" s="136"/>
      <c r="C598" s="376" t="s">
        <v>299</v>
      </c>
      <c r="D598" s="15" t="s">
        <v>400</v>
      </c>
      <c r="E598" s="12"/>
      <c r="F598" s="62">
        <v>1500</v>
      </c>
      <c r="G598" s="54"/>
      <c r="H598" s="54"/>
      <c r="I598" s="54"/>
    </row>
    <row r="599" spans="1:9" s="55" customFormat="1" hidden="1" x14ac:dyDescent="0.25">
      <c r="A599" s="131"/>
      <c r="B599" s="136" t="s">
        <v>238</v>
      </c>
      <c r="C599" s="376" t="s">
        <v>299</v>
      </c>
      <c r="D599" s="57" t="s">
        <v>90</v>
      </c>
      <c r="E599" s="12"/>
      <c r="F599" s="62">
        <f>F600+F601</f>
        <v>17500</v>
      </c>
      <c r="G599" s="54"/>
      <c r="H599" s="54"/>
      <c r="I599" s="54"/>
    </row>
    <row r="600" spans="1:9" s="55" customFormat="1" hidden="1" x14ac:dyDescent="0.25">
      <c r="A600" s="131"/>
      <c r="B600" s="136" t="s">
        <v>238</v>
      </c>
      <c r="C600" s="376" t="s">
        <v>299</v>
      </c>
      <c r="D600" s="15" t="s">
        <v>145</v>
      </c>
      <c r="E600" s="12"/>
      <c r="F600" s="62">
        <v>15810</v>
      </c>
      <c r="G600" s="54"/>
      <c r="H600" s="54"/>
      <c r="I600" s="54"/>
    </row>
    <row r="601" spans="1:9" s="55" customFormat="1" ht="60" hidden="1" x14ac:dyDescent="0.25">
      <c r="A601" s="131"/>
      <c r="B601" s="136"/>
      <c r="C601" s="376"/>
      <c r="D601" s="15" t="s">
        <v>421</v>
      </c>
      <c r="E601" s="12"/>
      <c r="F601" s="62">
        <v>1690</v>
      </c>
      <c r="G601" s="54"/>
      <c r="H601" s="54"/>
      <c r="I601" s="54"/>
    </row>
    <row r="602" spans="1:9" s="55" customFormat="1" hidden="1" x14ac:dyDescent="0.25">
      <c r="A602" s="131"/>
      <c r="B602" s="136"/>
      <c r="C602" s="376"/>
      <c r="D602" s="33" t="s">
        <v>98</v>
      </c>
      <c r="E602" s="12"/>
      <c r="F602" s="62"/>
      <c r="G602" s="54"/>
      <c r="H602" s="54"/>
      <c r="I602" s="54"/>
    </row>
    <row r="603" spans="1:9" s="55" customFormat="1" ht="75" hidden="1" x14ac:dyDescent="0.25">
      <c r="A603" s="131"/>
      <c r="B603" s="136"/>
      <c r="C603" s="376"/>
      <c r="D603" s="15" t="s">
        <v>420</v>
      </c>
      <c r="E603" s="12"/>
      <c r="F603" s="62">
        <v>8450</v>
      </c>
      <c r="G603" s="54"/>
      <c r="H603" s="54"/>
      <c r="I603" s="54"/>
    </row>
    <row r="604" spans="1:9" s="55" customFormat="1" ht="47.25" hidden="1" x14ac:dyDescent="0.25">
      <c r="A604" s="131"/>
      <c r="B604" s="136" t="s">
        <v>238</v>
      </c>
      <c r="C604" s="376" t="s">
        <v>299</v>
      </c>
      <c r="D604" s="58" t="s">
        <v>333</v>
      </c>
      <c r="E604" s="12"/>
      <c r="F604" s="77">
        <f>F605+F612</f>
        <v>8546</v>
      </c>
      <c r="G604" s="54"/>
      <c r="H604" s="54"/>
      <c r="I604" s="54"/>
    </row>
    <row r="605" spans="1:9" s="55" customFormat="1" ht="30" hidden="1" x14ac:dyDescent="0.25">
      <c r="A605" s="131"/>
      <c r="B605" s="136" t="s">
        <v>238</v>
      </c>
      <c r="C605" s="376" t="s">
        <v>299</v>
      </c>
      <c r="D605" s="16" t="s">
        <v>193</v>
      </c>
      <c r="E605" s="12"/>
      <c r="F605" s="62">
        <f>SUM(F606:F611)-F609</f>
        <v>6921</v>
      </c>
      <c r="G605" s="54"/>
      <c r="H605" s="54"/>
      <c r="I605" s="54"/>
    </row>
    <row r="606" spans="1:9" s="55" customFormat="1" ht="30" hidden="1" x14ac:dyDescent="0.25">
      <c r="A606" s="131"/>
      <c r="B606" s="136" t="s">
        <v>238</v>
      </c>
      <c r="C606" s="376" t="s">
        <v>299</v>
      </c>
      <c r="D606" s="15" t="s">
        <v>334</v>
      </c>
      <c r="E606" s="12"/>
      <c r="F606" s="62">
        <v>6180</v>
      </c>
      <c r="G606" s="54"/>
      <c r="H606" s="54"/>
      <c r="I606" s="54"/>
    </row>
    <row r="607" spans="1:9" s="55" customFormat="1" ht="45" hidden="1" x14ac:dyDescent="0.25">
      <c r="A607" s="131">
        <v>1</v>
      </c>
      <c r="B607" s="136" t="s">
        <v>238</v>
      </c>
      <c r="C607" s="376" t="s">
        <v>299</v>
      </c>
      <c r="D607" s="15" t="s">
        <v>402</v>
      </c>
      <c r="E607" s="59"/>
      <c r="F607" s="54"/>
      <c r="G607" s="54"/>
      <c r="H607" s="54"/>
      <c r="I607" s="54"/>
    </row>
    <row r="608" spans="1:9" s="55" customFormat="1" ht="30" hidden="1" x14ac:dyDescent="0.25">
      <c r="A608" s="131"/>
      <c r="B608" s="136"/>
      <c r="C608" s="376"/>
      <c r="D608" s="15" t="s">
        <v>380</v>
      </c>
      <c r="E608" s="59"/>
      <c r="F608" s="54">
        <v>741</v>
      </c>
      <c r="G608" s="54"/>
      <c r="H608" s="54"/>
      <c r="I608" s="54"/>
    </row>
    <row r="609" spans="1:35" s="55" customFormat="1" ht="30" hidden="1" x14ac:dyDescent="0.25">
      <c r="A609" s="131"/>
      <c r="B609" s="136"/>
      <c r="C609" s="376"/>
      <c r="D609" s="15" t="s">
        <v>381</v>
      </c>
      <c r="E609" s="59"/>
      <c r="F609" s="54"/>
      <c r="G609" s="54"/>
      <c r="H609" s="54"/>
      <c r="I609" s="54"/>
    </row>
    <row r="610" spans="1:35" s="55" customFormat="1" ht="30" hidden="1" x14ac:dyDescent="0.25">
      <c r="A610" s="131">
        <v>1</v>
      </c>
      <c r="B610" s="136" t="s">
        <v>238</v>
      </c>
      <c r="C610" s="376" t="s">
        <v>299</v>
      </c>
      <c r="D610" s="15" t="s">
        <v>382</v>
      </c>
      <c r="E610" s="59"/>
      <c r="F610" s="54"/>
      <c r="G610" s="54"/>
      <c r="H610" s="54"/>
      <c r="I610" s="54"/>
    </row>
    <row r="611" spans="1:35" s="55" customFormat="1" ht="30" hidden="1" x14ac:dyDescent="0.25">
      <c r="A611" s="131">
        <v>1</v>
      </c>
      <c r="B611" s="136" t="s">
        <v>238</v>
      </c>
      <c r="C611" s="376" t="s">
        <v>299</v>
      </c>
      <c r="D611" s="15" t="s">
        <v>383</v>
      </c>
      <c r="E611" s="59"/>
      <c r="F611" s="2"/>
      <c r="G611" s="54"/>
      <c r="H611" s="54"/>
      <c r="I611" s="54"/>
    </row>
    <row r="612" spans="1:35" s="55" customFormat="1" ht="30" hidden="1" x14ac:dyDescent="0.25">
      <c r="A612" s="131">
        <v>1</v>
      </c>
      <c r="B612" s="136" t="s">
        <v>238</v>
      </c>
      <c r="C612" s="376" t="s">
        <v>299</v>
      </c>
      <c r="D612" s="16" t="s">
        <v>194</v>
      </c>
      <c r="E612" s="59"/>
      <c r="F612" s="29">
        <f>SUM(F613:F615)</f>
        <v>1625</v>
      </c>
      <c r="G612" s="54"/>
      <c r="H612" s="54"/>
      <c r="I612" s="54"/>
    </row>
    <row r="613" spans="1:35" s="55" customFormat="1" ht="30" hidden="1" x14ac:dyDescent="0.25">
      <c r="A613" s="131">
        <v>1</v>
      </c>
      <c r="B613" s="136" t="s">
        <v>238</v>
      </c>
      <c r="C613" s="376" t="s">
        <v>299</v>
      </c>
      <c r="D613" s="15" t="s">
        <v>384</v>
      </c>
      <c r="E613" s="59"/>
      <c r="F613" s="2">
        <v>1625</v>
      </c>
      <c r="G613" s="54"/>
      <c r="H613" s="54"/>
      <c r="I613" s="54"/>
    </row>
    <row r="614" spans="1:35" s="55" customFormat="1" ht="45" hidden="1" x14ac:dyDescent="0.25">
      <c r="A614" s="131">
        <v>1</v>
      </c>
      <c r="B614" s="136" t="s">
        <v>238</v>
      </c>
      <c r="C614" s="376" t="s">
        <v>299</v>
      </c>
      <c r="D614" s="15" t="s">
        <v>385</v>
      </c>
      <c r="E614" s="59"/>
      <c r="F614" s="10"/>
      <c r="G614" s="54"/>
      <c r="H614" s="54"/>
      <c r="I614" s="54"/>
    </row>
    <row r="615" spans="1:35" ht="45" hidden="1" x14ac:dyDescent="0.25">
      <c r="A615" s="131">
        <v>1</v>
      </c>
      <c r="B615" s="136" t="s">
        <v>238</v>
      </c>
      <c r="C615" s="376" t="s">
        <v>299</v>
      </c>
      <c r="D615" s="15" t="s">
        <v>386</v>
      </c>
      <c r="E615" s="13"/>
      <c r="F615" s="2"/>
      <c r="G615" s="2"/>
      <c r="H615" s="2"/>
      <c r="I615" s="2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  <c r="Z615" s="145"/>
      <c r="AA615" s="145"/>
      <c r="AB615" s="145"/>
      <c r="AC615" s="145"/>
      <c r="AD615" s="145"/>
      <c r="AE615" s="145"/>
      <c r="AF615" s="145"/>
      <c r="AG615" s="145"/>
      <c r="AH615" s="145"/>
      <c r="AI615" s="145"/>
    </row>
    <row r="616" spans="1:35" s="55" customFormat="1" hidden="1" x14ac:dyDescent="0.25">
      <c r="A616" s="131">
        <v>1</v>
      </c>
      <c r="B616" s="136" t="s">
        <v>238</v>
      </c>
      <c r="C616" s="376" t="s">
        <v>299</v>
      </c>
      <c r="D616" s="14" t="s">
        <v>251</v>
      </c>
      <c r="E616" s="277"/>
      <c r="F616" s="29">
        <f>SUM(F617,F618,F622,F623,F624,F625)</f>
        <v>2104</v>
      </c>
      <c r="G616" s="54"/>
      <c r="H616" s="54"/>
      <c r="I616" s="54"/>
    </row>
    <row r="617" spans="1:35" s="55" customFormat="1" hidden="1" x14ac:dyDescent="0.25">
      <c r="A617" s="131">
        <v>1</v>
      </c>
      <c r="B617" s="136" t="s">
        <v>238</v>
      </c>
      <c r="C617" s="376" t="s">
        <v>299</v>
      </c>
      <c r="D617" s="15" t="s">
        <v>252</v>
      </c>
      <c r="E617" s="61"/>
      <c r="F617" s="59"/>
      <c r="G617" s="62"/>
      <c r="H617" s="62"/>
      <c r="I617" s="62"/>
    </row>
    <row r="618" spans="1:35" s="55" customFormat="1" ht="30" hidden="1" x14ac:dyDescent="0.25">
      <c r="A618" s="131">
        <v>1</v>
      </c>
      <c r="B618" s="136" t="s">
        <v>238</v>
      </c>
      <c r="C618" s="376" t="s">
        <v>299</v>
      </c>
      <c r="D618" s="16" t="s">
        <v>388</v>
      </c>
      <c r="E618" s="13"/>
      <c r="F618" s="2"/>
      <c r="G618" s="62"/>
      <c r="H618" s="62"/>
      <c r="I618" s="62"/>
    </row>
    <row r="619" spans="1:35" s="145" customFormat="1" hidden="1" x14ac:dyDescent="0.25">
      <c r="A619" s="131"/>
      <c r="B619" s="136" t="s">
        <v>238</v>
      </c>
      <c r="C619" s="376" t="s">
        <v>299</v>
      </c>
      <c r="D619" s="15" t="s">
        <v>389</v>
      </c>
      <c r="E619" s="13"/>
      <c r="F619" s="13"/>
      <c r="G619" s="10"/>
      <c r="H619" s="10"/>
      <c r="I619" s="10"/>
    </row>
    <row r="620" spans="1:35" s="55" customFormat="1" ht="30" hidden="1" x14ac:dyDescent="0.25">
      <c r="A620" s="131">
        <v>1</v>
      </c>
      <c r="B620" s="136" t="s">
        <v>238</v>
      </c>
      <c r="C620" s="376" t="s">
        <v>299</v>
      </c>
      <c r="D620" s="15" t="s">
        <v>390</v>
      </c>
      <c r="E620" s="13"/>
      <c r="F620" s="2"/>
      <c r="G620" s="62"/>
      <c r="H620" s="62"/>
      <c r="I620" s="62"/>
    </row>
    <row r="621" spans="1:35" s="55" customFormat="1" ht="45" hidden="1" x14ac:dyDescent="0.25">
      <c r="A621" s="131">
        <v>1</v>
      </c>
      <c r="B621" s="136" t="s">
        <v>238</v>
      </c>
      <c r="C621" s="376" t="s">
        <v>299</v>
      </c>
      <c r="D621" s="15" t="s">
        <v>391</v>
      </c>
      <c r="E621" s="13"/>
      <c r="F621" s="2"/>
      <c r="G621" s="62"/>
      <c r="H621" s="62"/>
      <c r="I621" s="62"/>
    </row>
    <row r="622" spans="1:35" s="55" customFormat="1" ht="45" hidden="1" x14ac:dyDescent="0.25">
      <c r="A622" s="131">
        <v>1</v>
      </c>
      <c r="B622" s="136" t="s">
        <v>238</v>
      </c>
      <c r="C622" s="376" t="s">
        <v>299</v>
      </c>
      <c r="D622" s="15" t="s">
        <v>392</v>
      </c>
      <c r="E622" s="13"/>
      <c r="F622" s="54"/>
      <c r="G622" s="62"/>
      <c r="H622" s="62"/>
      <c r="I622" s="62"/>
    </row>
    <row r="623" spans="1:35" s="55" customFormat="1" ht="45" hidden="1" x14ac:dyDescent="0.25">
      <c r="A623" s="131">
        <v>1</v>
      </c>
      <c r="B623" s="136" t="s">
        <v>238</v>
      </c>
      <c r="C623" s="376" t="s">
        <v>299</v>
      </c>
      <c r="D623" s="18" t="s">
        <v>393</v>
      </c>
      <c r="E623" s="13"/>
      <c r="F623" s="54"/>
      <c r="G623" s="62"/>
      <c r="H623" s="62"/>
      <c r="I623" s="62"/>
    </row>
    <row r="624" spans="1:35" s="55" customFormat="1" ht="75" hidden="1" x14ac:dyDescent="0.25">
      <c r="A624" s="131"/>
      <c r="B624" s="136"/>
      <c r="C624" s="376" t="s">
        <v>299</v>
      </c>
      <c r="D624" s="18" t="s">
        <v>394</v>
      </c>
      <c r="E624" s="13"/>
      <c r="F624" s="53">
        <v>250</v>
      </c>
      <c r="G624" s="62"/>
      <c r="H624" s="62"/>
      <c r="I624" s="43"/>
    </row>
    <row r="625" spans="1:9" s="55" customFormat="1" ht="30" hidden="1" x14ac:dyDescent="0.25">
      <c r="A625" s="131"/>
      <c r="B625" s="136"/>
      <c r="C625" s="376" t="s">
        <v>299</v>
      </c>
      <c r="D625" s="18" t="s">
        <v>395</v>
      </c>
      <c r="E625" s="13"/>
      <c r="F625" s="53">
        <v>1854</v>
      </c>
      <c r="G625" s="62"/>
      <c r="H625" s="62"/>
      <c r="I625" s="43"/>
    </row>
    <row r="626" spans="1:9" s="55" customFormat="1" hidden="1" x14ac:dyDescent="0.25">
      <c r="A626" s="131">
        <v>1</v>
      </c>
      <c r="B626" s="136" t="s">
        <v>238</v>
      </c>
      <c r="C626" s="376" t="s">
        <v>299</v>
      </c>
      <c r="D626" s="14" t="s">
        <v>253</v>
      </c>
      <c r="E626" s="13"/>
      <c r="F626" s="54"/>
      <c r="G626" s="62"/>
      <c r="H626" s="62"/>
      <c r="I626" s="62"/>
    </row>
    <row r="627" spans="1:9" s="55" customFormat="1" hidden="1" x14ac:dyDescent="0.25">
      <c r="A627" s="131">
        <v>1</v>
      </c>
      <c r="B627" s="136" t="s">
        <v>238</v>
      </c>
      <c r="C627" s="376" t="s">
        <v>299</v>
      </c>
      <c r="D627" s="14" t="s">
        <v>254</v>
      </c>
      <c r="E627" s="13"/>
      <c r="F627" s="54"/>
      <c r="G627" s="62"/>
      <c r="H627" s="62"/>
      <c r="I627" s="62"/>
    </row>
    <row r="628" spans="1:9" s="55" customFormat="1" hidden="1" x14ac:dyDescent="0.25">
      <c r="A628" s="131">
        <v>1</v>
      </c>
      <c r="B628" s="136" t="s">
        <v>238</v>
      </c>
      <c r="C628" s="376" t="s">
        <v>299</v>
      </c>
      <c r="D628" s="15" t="s">
        <v>255</v>
      </c>
      <c r="E628" s="13"/>
      <c r="F628" s="71"/>
      <c r="G628" s="62"/>
      <c r="H628" s="62"/>
      <c r="I628" s="62"/>
    </row>
    <row r="629" spans="1:9" s="55" customFormat="1" hidden="1" x14ac:dyDescent="0.25">
      <c r="A629" s="131">
        <v>1</v>
      </c>
      <c r="B629" s="136" t="s">
        <v>238</v>
      </c>
      <c r="C629" s="376" t="s">
        <v>299</v>
      </c>
      <c r="D629" s="42" t="s">
        <v>261</v>
      </c>
      <c r="E629" s="13"/>
      <c r="F629" s="2"/>
      <c r="G629" s="62"/>
      <c r="H629" s="62"/>
      <c r="I629" s="62"/>
    </row>
    <row r="630" spans="1:9" s="55" customFormat="1" ht="29.25" hidden="1" x14ac:dyDescent="0.25">
      <c r="A630" s="131">
        <v>1</v>
      </c>
      <c r="B630" s="136" t="s">
        <v>238</v>
      </c>
      <c r="C630" s="376" t="s">
        <v>299</v>
      </c>
      <c r="D630" s="14" t="s">
        <v>256</v>
      </c>
      <c r="E630" s="13"/>
      <c r="F630" s="2">
        <v>6500</v>
      </c>
      <c r="G630" s="62"/>
      <c r="H630" s="62"/>
      <c r="I630" s="62"/>
    </row>
    <row r="631" spans="1:9" s="55" customFormat="1" hidden="1" x14ac:dyDescent="0.25">
      <c r="A631" s="131">
        <v>1</v>
      </c>
      <c r="B631" s="136" t="s">
        <v>238</v>
      </c>
      <c r="C631" s="376" t="s">
        <v>299</v>
      </c>
      <c r="D631" s="19" t="s">
        <v>117</v>
      </c>
      <c r="E631" s="13"/>
      <c r="F631" s="39"/>
      <c r="G631" s="62"/>
      <c r="H631" s="62"/>
      <c r="I631" s="62"/>
    </row>
    <row r="632" spans="1:9" s="55" customFormat="1" ht="57.75" hidden="1" x14ac:dyDescent="0.25">
      <c r="A632" s="131">
        <v>1</v>
      </c>
      <c r="B632" s="136" t="s">
        <v>238</v>
      </c>
      <c r="C632" s="376" t="s">
        <v>299</v>
      </c>
      <c r="D632" s="14" t="s">
        <v>257</v>
      </c>
      <c r="E632" s="13"/>
      <c r="F632" s="39"/>
      <c r="G632" s="62"/>
      <c r="H632" s="62"/>
      <c r="I632" s="62"/>
    </row>
    <row r="633" spans="1:9" s="55" customFormat="1" hidden="1" x14ac:dyDescent="0.25">
      <c r="A633" s="131">
        <v>1</v>
      </c>
      <c r="B633" s="136" t="s">
        <v>238</v>
      </c>
      <c r="C633" s="376" t="s">
        <v>299</v>
      </c>
      <c r="D633" s="20" t="s">
        <v>165</v>
      </c>
      <c r="E633" s="13"/>
      <c r="F633" s="38">
        <f>SUM(F634:F635)</f>
        <v>450</v>
      </c>
      <c r="G633" s="62"/>
      <c r="H633" s="62"/>
      <c r="I633" s="62"/>
    </row>
    <row r="634" spans="1:9" s="55" customFormat="1" ht="30" hidden="1" x14ac:dyDescent="0.25">
      <c r="A634" s="131"/>
      <c r="B634" s="136"/>
      <c r="C634" s="376"/>
      <c r="D634" s="35" t="s">
        <v>199</v>
      </c>
      <c r="E634" s="13"/>
      <c r="F634" s="39">
        <v>250</v>
      </c>
      <c r="G634" s="62"/>
      <c r="H634" s="62"/>
      <c r="I634" s="62"/>
    </row>
    <row r="635" spans="1:9" s="55" customFormat="1" ht="30" hidden="1" x14ac:dyDescent="0.25">
      <c r="A635" s="131">
        <v>1</v>
      </c>
      <c r="B635" s="136" t="s">
        <v>238</v>
      </c>
      <c r="C635" s="376" t="s">
        <v>299</v>
      </c>
      <c r="D635" s="35" t="s">
        <v>200</v>
      </c>
      <c r="E635" s="13"/>
      <c r="F635" s="39">
        <v>200</v>
      </c>
      <c r="G635" s="62"/>
      <c r="H635" s="62"/>
      <c r="I635" s="62"/>
    </row>
    <row r="636" spans="1:9" s="55" customFormat="1" ht="43.5" hidden="1" x14ac:dyDescent="0.25">
      <c r="A636" s="131"/>
      <c r="B636" s="136"/>
      <c r="C636" s="376"/>
      <c r="D636" s="21" t="s">
        <v>396</v>
      </c>
      <c r="E636" s="13"/>
      <c r="F636" s="238">
        <f>F603</f>
        <v>8450</v>
      </c>
      <c r="G636" s="62"/>
      <c r="H636" s="62"/>
      <c r="I636" s="62"/>
    </row>
    <row r="637" spans="1:9" s="55" customFormat="1" hidden="1" x14ac:dyDescent="0.25">
      <c r="A637" s="131">
        <v>1</v>
      </c>
      <c r="B637" s="136" t="s">
        <v>238</v>
      </c>
      <c r="C637" s="376" t="s">
        <v>299</v>
      </c>
      <c r="D637" s="21" t="s">
        <v>195</v>
      </c>
      <c r="E637" s="13"/>
      <c r="F637" s="29">
        <f>F593+F616</f>
        <v>9930</v>
      </c>
      <c r="G637" s="62"/>
      <c r="H637" s="62"/>
      <c r="I637" s="62"/>
    </row>
    <row r="638" spans="1:9" s="55" customFormat="1" ht="29.25" hidden="1" x14ac:dyDescent="0.25">
      <c r="A638" s="131">
        <v>1</v>
      </c>
      <c r="B638" s="136" t="s">
        <v>238</v>
      </c>
      <c r="C638" s="376" t="s">
        <v>299</v>
      </c>
      <c r="D638" s="21" t="s">
        <v>196</v>
      </c>
      <c r="E638" s="13"/>
      <c r="F638" s="29">
        <f>F604</f>
        <v>8546</v>
      </c>
      <c r="G638" s="62"/>
      <c r="H638" s="62"/>
      <c r="I638" s="62"/>
    </row>
    <row r="639" spans="1:9" s="55" customFormat="1" hidden="1" x14ac:dyDescent="0.25">
      <c r="A639" s="131">
        <v>1</v>
      </c>
      <c r="B639" s="136" t="s">
        <v>238</v>
      </c>
      <c r="C639" s="376" t="s">
        <v>299</v>
      </c>
      <c r="D639" s="21" t="s">
        <v>197</v>
      </c>
      <c r="E639" s="13"/>
      <c r="F639" s="29">
        <f>F626+F599</f>
        <v>17500</v>
      </c>
      <c r="G639" s="62"/>
      <c r="H639" s="62"/>
      <c r="I639" s="62"/>
    </row>
    <row r="640" spans="1:9" s="55" customFormat="1" ht="29.25" hidden="1" x14ac:dyDescent="0.25">
      <c r="A640" s="131">
        <v>1</v>
      </c>
      <c r="B640" s="136" t="s">
        <v>238</v>
      </c>
      <c r="C640" s="376" t="s">
        <v>299</v>
      </c>
      <c r="D640" s="21" t="s">
        <v>198</v>
      </c>
      <c r="E640" s="59"/>
      <c r="F640" s="59">
        <f>F630</f>
        <v>6500</v>
      </c>
      <c r="G640" s="62"/>
      <c r="H640" s="62"/>
      <c r="I640" s="62"/>
    </row>
    <row r="641" spans="1:35" s="55" customFormat="1" hidden="1" x14ac:dyDescent="0.25">
      <c r="A641" s="131">
        <v>1</v>
      </c>
      <c r="B641" s="136" t="s">
        <v>238</v>
      </c>
      <c r="C641" s="376" t="s">
        <v>299</v>
      </c>
      <c r="D641" s="22" t="s">
        <v>112</v>
      </c>
      <c r="E641" s="59"/>
      <c r="F641" s="86">
        <f>F638+F637+F640+F639*2.6+F636*2.6</f>
        <v>92446</v>
      </c>
      <c r="G641" s="62"/>
      <c r="H641" s="62"/>
      <c r="I641" s="62"/>
    </row>
    <row r="642" spans="1:35" hidden="1" x14ac:dyDescent="0.25">
      <c r="A642" s="131">
        <v>1</v>
      </c>
      <c r="B642" s="136" t="s">
        <v>238</v>
      </c>
      <c r="C642" s="376" t="s">
        <v>299</v>
      </c>
      <c r="D642" s="30" t="s">
        <v>7</v>
      </c>
      <c r="E642" s="660"/>
      <c r="F642" s="2"/>
      <c r="G642" s="2"/>
      <c r="H642" s="2"/>
      <c r="I642" s="2"/>
      <c r="J642" s="145"/>
      <c r="K642" s="145"/>
      <c r="L642" s="145"/>
      <c r="M642" s="145"/>
      <c r="N642" s="145"/>
      <c r="O642" s="145"/>
      <c r="P642" s="145"/>
      <c r="Q642" s="145"/>
      <c r="R642" s="145"/>
      <c r="S642" s="145"/>
      <c r="T642" s="145"/>
      <c r="U642" s="145"/>
      <c r="V642" s="145"/>
      <c r="W642" s="145"/>
      <c r="X642" s="145"/>
      <c r="Y642" s="145"/>
      <c r="Z642" s="145"/>
      <c r="AA642" s="145"/>
      <c r="AB642" s="145"/>
      <c r="AC642" s="145"/>
      <c r="AD642" s="145"/>
      <c r="AE642" s="145"/>
      <c r="AF642" s="145"/>
      <c r="AG642" s="145"/>
      <c r="AH642" s="145"/>
      <c r="AI642" s="145"/>
    </row>
    <row r="643" spans="1:35" hidden="1" x14ac:dyDescent="0.25">
      <c r="A643" s="131">
        <v>1</v>
      </c>
      <c r="B643" s="136" t="s">
        <v>238</v>
      </c>
      <c r="C643" s="376" t="s">
        <v>299</v>
      </c>
      <c r="D643" s="40" t="s">
        <v>18</v>
      </c>
      <c r="E643" s="660"/>
      <c r="F643" s="2"/>
      <c r="G643" s="2"/>
      <c r="H643" s="2"/>
      <c r="I643" s="2"/>
      <c r="J643" s="145"/>
      <c r="K643" s="145"/>
      <c r="L643" s="145"/>
      <c r="M643" s="145"/>
      <c r="N643" s="145"/>
      <c r="O643" s="145"/>
      <c r="P643" s="145"/>
      <c r="Q643" s="145"/>
      <c r="R643" s="145"/>
      <c r="S643" s="145"/>
      <c r="T643" s="145"/>
      <c r="U643" s="145"/>
      <c r="V643" s="145"/>
      <c r="W643" s="145"/>
      <c r="X643" s="145"/>
      <c r="Y643" s="145"/>
      <c r="Z643" s="145"/>
      <c r="AA643" s="145"/>
      <c r="AB643" s="145"/>
      <c r="AC643" s="145"/>
      <c r="AD643" s="145"/>
      <c r="AE643" s="145"/>
      <c r="AF643" s="145"/>
      <c r="AG643" s="145"/>
      <c r="AH643" s="145"/>
      <c r="AI643" s="145"/>
    </row>
    <row r="644" spans="1:35" hidden="1" x14ac:dyDescent="0.25">
      <c r="B644" s="136"/>
      <c r="C644" s="376" t="s">
        <v>299</v>
      </c>
      <c r="D644" s="539" t="s">
        <v>79</v>
      </c>
      <c r="E644" s="660">
        <v>240</v>
      </c>
      <c r="F644" s="2"/>
      <c r="G644" s="337">
        <v>3</v>
      </c>
      <c r="H644" s="2">
        <f>ROUND(I644/E644,0)</f>
        <v>0</v>
      </c>
      <c r="I644" s="2">
        <f>ROUND(F644*G644,0)</f>
        <v>0</v>
      </c>
      <c r="J644" s="145"/>
      <c r="K644" s="145"/>
      <c r="L644" s="145"/>
      <c r="M644" s="145"/>
      <c r="N644" s="145"/>
      <c r="O644" s="145"/>
      <c r="P644" s="145"/>
      <c r="Q644" s="145"/>
      <c r="R644" s="145"/>
      <c r="S644" s="145"/>
      <c r="T644" s="145"/>
      <c r="U644" s="145"/>
      <c r="V644" s="145"/>
      <c r="W644" s="145"/>
      <c r="X644" s="145"/>
      <c r="Y644" s="145"/>
      <c r="Z644" s="145"/>
      <c r="AA644" s="145"/>
      <c r="AB644" s="145"/>
      <c r="AC644" s="145"/>
      <c r="AD644" s="145"/>
      <c r="AE644" s="145"/>
      <c r="AF644" s="145"/>
      <c r="AG644" s="145"/>
      <c r="AH644" s="145"/>
      <c r="AI644" s="145"/>
    </row>
    <row r="645" spans="1:35" hidden="1" x14ac:dyDescent="0.25">
      <c r="A645" s="131">
        <v>1</v>
      </c>
      <c r="B645" s="136" t="s">
        <v>238</v>
      </c>
      <c r="C645" s="376" t="s">
        <v>299</v>
      </c>
      <c r="D645" s="25" t="s">
        <v>35</v>
      </c>
      <c r="E645" s="660">
        <v>240</v>
      </c>
      <c r="F645" s="2">
        <v>1081</v>
      </c>
      <c r="G645" s="661">
        <v>7.25</v>
      </c>
      <c r="H645" s="2">
        <f>ROUND(I645/E645,0)</f>
        <v>33</v>
      </c>
      <c r="I645" s="2">
        <f>ROUND(F645*G645,0)</f>
        <v>7837</v>
      </c>
      <c r="J645" s="145"/>
      <c r="K645" s="145"/>
      <c r="L645" s="145"/>
      <c r="M645" s="145"/>
      <c r="N645" s="145"/>
      <c r="O645" s="145"/>
      <c r="P645" s="145"/>
      <c r="Q645" s="145"/>
      <c r="R645" s="145"/>
      <c r="S645" s="145"/>
      <c r="T645" s="145"/>
      <c r="U645" s="145"/>
      <c r="V645" s="145"/>
      <c r="W645" s="145"/>
      <c r="X645" s="145"/>
      <c r="Y645" s="145"/>
      <c r="Z645" s="145"/>
      <c r="AA645" s="145"/>
      <c r="AB645" s="145"/>
      <c r="AC645" s="145"/>
      <c r="AD645" s="145"/>
      <c r="AE645" s="145"/>
      <c r="AF645" s="145"/>
      <c r="AG645" s="145"/>
      <c r="AH645" s="145"/>
      <c r="AI645" s="145"/>
    </row>
    <row r="646" spans="1:35" hidden="1" x14ac:dyDescent="0.25">
      <c r="A646" s="131">
        <v>1</v>
      </c>
      <c r="B646" s="136" t="s">
        <v>238</v>
      </c>
      <c r="C646" s="376" t="s">
        <v>299</v>
      </c>
      <c r="D646" s="644" t="s">
        <v>94</v>
      </c>
      <c r="E646" s="662"/>
      <c r="F646" s="31">
        <v>1081</v>
      </c>
      <c r="G646" s="663">
        <f>I646/F646</f>
        <v>7.2497687326549487</v>
      </c>
      <c r="H646" s="31">
        <f>H645+H644</f>
        <v>33</v>
      </c>
      <c r="I646" s="31">
        <f>I645+I644</f>
        <v>7837</v>
      </c>
      <c r="J646" s="145"/>
      <c r="K646" s="145"/>
      <c r="L646" s="145"/>
      <c r="M646" s="145"/>
      <c r="N646" s="145"/>
      <c r="O646" s="145"/>
      <c r="P646" s="145"/>
      <c r="Q646" s="145"/>
      <c r="R646" s="145"/>
      <c r="S646" s="145"/>
      <c r="T646" s="145"/>
      <c r="U646" s="145"/>
      <c r="V646" s="145"/>
      <c r="W646" s="145"/>
      <c r="X646" s="145"/>
      <c r="Y646" s="145"/>
      <c r="Z646" s="145"/>
      <c r="AA646" s="145"/>
      <c r="AB646" s="145"/>
      <c r="AC646" s="145"/>
      <c r="AD646" s="145"/>
      <c r="AE646" s="145"/>
      <c r="AF646" s="145"/>
      <c r="AG646" s="145"/>
      <c r="AH646" s="145"/>
      <c r="AI646" s="145"/>
    </row>
    <row r="647" spans="1:35" hidden="1" x14ac:dyDescent="0.25">
      <c r="A647" s="131">
        <v>1</v>
      </c>
      <c r="B647" s="136" t="s">
        <v>238</v>
      </c>
      <c r="C647" s="376" t="s">
        <v>299</v>
      </c>
      <c r="D647" s="26" t="s">
        <v>89</v>
      </c>
      <c r="E647" s="157"/>
      <c r="F647" s="29">
        <f>F646</f>
        <v>1081</v>
      </c>
      <c r="G647" s="663">
        <f>I647/F647</f>
        <v>7.2497687326549487</v>
      </c>
      <c r="H647" s="29">
        <f t="shared" ref="H647:I647" si="15">H646</f>
        <v>33</v>
      </c>
      <c r="I647" s="29">
        <f t="shared" si="15"/>
        <v>7837</v>
      </c>
    </row>
    <row r="648" spans="1:35" ht="15.75" hidden="1" thickBot="1" x14ac:dyDescent="0.3">
      <c r="A648" s="131">
        <v>1</v>
      </c>
      <c r="B648" s="136" t="s">
        <v>238</v>
      </c>
      <c r="C648" s="376" t="s">
        <v>299</v>
      </c>
      <c r="D648" s="652" t="s">
        <v>213</v>
      </c>
      <c r="E648" s="653"/>
      <c r="F648" s="653"/>
      <c r="G648" s="653"/>
      <c r="H648" s="653"/>
      <c r="I648" s="653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  <c r="Z648" s="145"/>
      <c r="AA648" s="145"/>
      <c r="AB648" s="145"/>
      <c r="AC648" s="145"/>
      <c r="AD648" s="145"/>
      <c r="AE648" s="145"/>
      <c r="AF648" s="145"/>
      <c r="AG648" s="145"/>
      <c r="AH648" s="145"/>
      <c r="AI648" s="145"/>
    </row>
    <row r="649" spans="1:35" hidden="1" x14ac:dyDescent="0.25">
      <c r="B649" s="376"/>
      <c r="C649" s="376" t="s">
        <v>299</v>
      </c>
      <c r="D649" s="274"/>
      <c r="E649" s="399"/>
      <c r="F649" s="399"/>
      <c r="G649" s="399"/>
      <c r="H649" s="399"/>
      <c r="I649" s="399"/>
      <c r="J649" s="145"/>
      <c r="K649" s="145"/>
      <c r="L649" s="145"/>
      <c r="M649" s="145"/>
      <c r="N649" s="145"/>
      <c r="O649" s="145"/>
      <c r="P649" s="145"/>
      <c r="Q649" s="145"/>
      <c r="R649" s="145"/>
      <c r="S649" s="145"/>
      <c r="T649" s="145"/>
      <c r="U649" s="145"/>
      <c r="V649" s="145"/>
      <c r="W649" s="145"/>
      <c r="X649" s="145"/>
      <c r="Y649" s="145"/>
      <c r="Z649" s="145"/>
      <c r="AA649" s="145"/>
      <c r="AB649" s="145"/>
      <c r="AC649" s="145"/>
      <c r="AD649" s="145"/>
      <c r="AE649" s="145"/>
      <c r="AF649" s="145"/>
      <c r="AG649" s="145"/>
      <c r="AH649" s="145"/>
      <c r="AI649" s="145"/>
    </row>
    <row r="650" spans="1:35" ht="47.25" hidden="1" x14ac:dyDescent="0.25">
      <c r="B650" s="376"/>
      <c r="C650" s="376" t="s">
        <v>299</v>
      </c>
      <c r="D650" s="763" t="s">
        <v>431</v>
      </c>
      <c r="E650" s="199"/>
      <c r="F650" s="2"/>
      <c r="G650" s="2"/>
      <c r="H650" s="2"/>
      <c r="I650" s="2"/>
      <c r="J650" s="145"/>
      <c r="K650" s="145"/>
      <c r="L650" s="145"/>
      <c r="M650" s="145"/>
      <c r="N650" s="145"/>
      <c r="O650" s="145"/>
      <c r="P650" s="145"/>
      <c r="Q650" s="145"/>
      <c r="R650" s="145"/>
      <c r="S650" s="145"/>
      <c r="T650" s="145"/>
      <c r="U650" s="145"/>
      <c r="V650" s="145"/>
      <c r="W650" s="145"/>
      <c r="X650" s="145"/>
      <c r="Y650" s="145"/>
      <c r="Z650" s="145"/>
      <c r="AA650" s="145"/>
      <c r="AB650" s="145"/>
      <c r="AC650" s="145"/>
      <c r="AD650" s="145"/>
      <c r="AE650" s="145"/>
      <c r="AF650" s="145"/>
      <c r="AG650" s="145"/>
      <c r="AH650" s="145"/>
      <c r="AI650" s="145"/>
    </row>
    <row r="651" spans="1:35" hidden="1" x14ac:dyDescent="0.25">
      <c r="B651" s="376"/>
      <c r="C651" s="376" t="s">
        <v>299</v>
      </c>
      <c r="D651" s="12" t="s">
        <v>111</v>
      </c>
      <c r="E651" s="13"/>
      <c r="F651" s="2"/>
      <c r="G651" s="2"/>
      <c r="H651" s="2"/>
      <c r="I651" s="2"/>
      <c r="J651" s="145"/>
      <c r="K651" s="145"/>
      <c r="L651" s="145"/>
      <c r="M651" s="145"/>
      <c r="N651" s="145"/>
      <c r="O651" s="145"/>
      <c r="P651" s="145"/>
      <c r="Q651" s="145"/>
      <c r="R651" s="145"/>
      <c r="S651" s="145"/>
      <c r="T651" s="145"/>
      <c r="U651" s="145"/>
      <c r="V651" s="145"/>
      <c r="W651" s="145"/>
      <c r="X651" s="145"/>
      <c r="Y651" s="145"/>
      <c r="Z651" s="145"/>
      <c r="AA651" s="145"/>
      <c r="AB651" s="145"/>
      <c r="AC651" s="145"/>
      <c r="AD651" s="145"/>
      <c r="AE651" s="145"/>
      <c r="AF651" s="145"/>
      <c r="AG651" s="145"/>
      <c r="AH651" s="145"/>
      <c r="AI651" s="145"/>
    </row>
    <row r="652" spans="1:35" hidden="1" x14ac:dyDescent="0.25">
      <c r="B652" s="376"/>
      <c r="C652" s="376" t="s">
        <v>299</v>
      </c>
      <c r="D652" s="12" t="s">
        <v>98</v>
      </c>
      <c r="E652" s="13"/>
      <c r="F652" s="2"/>
      <c r="G652" s="2"/>
      <c r="H652" s="2"/>
      <c r="I652" s="2"/>
      <c r="J652" s="145"/>
      <c r="K652" s="145"/>
      <c r="L652" s="145"/>
      <c r="M652" s="145"/>
      <c r="N652" s="145"/>
      <c r="O652" s="145"/>
      <c r="P652" s="145"/>
      <c r="Q652" s="145"/>
      <c r="R652" s="145"/>
      <c r="S652" s="145"/>
      <c r="T652" s="145"/>
      <c r="U652" s="145"/>
      <c r="V652" s="145"/>
      <c r="W652" s="145"/>
      <c r="X652" s="145"/>
      <c r="Y652" s="145"/>
      <c r="Z652" s="145"/>
      <c r="AA652" s="145"/>
      <c r="AB652" s="145"/>
      <c r="AC652" s="145"/>
      <c r="AD652" s="145"/>
      <c r="AE652" s="145"/>
      <c r="AF652" s="145"/>
      <c r="AG652" s="145"/>
      <c r="AH652" s="145"/>
      <c r="AI652" s="145"/>
    </row>
    <row r="653" spans="1:35" hidden="1" x14ac:dyDescent="0.25">
      <c r="B653" s="376"/>
      <c r="C653" s="376" t="s">
        <v>299</v>
      </c>
      <c r="D653" s="14" t="s">
        <v>251</v>
      </c>
      <c r="E653" s="13"/>
      <c r="F653" s="2">
        <f>F654</f>
        <v>13750</v>
      </c>
      <c r="G653" s="2"/>
      <c r="H653" s="2"/>
      <c r="I653" s="2"/>
      <c r="J653" s="145"/>
      <c r="K653" s="145"/>
      <c r="L653" s="145"/>
      <c r="M653" s="145"/>
      <c r="N653" s="145"/>
      <c r="O653" s="145"/>
      <c r="P653" s="145"/>
      <c r="Q653" s="145"/>
      <c r="R653" s="145"/>
      <c r="S653" s="145"/>
      <c r="T653" s="145"/>
      <c r="U653" s="145"/>
      <c r="V653" s="145"/>
      <c r="W653" s="145"/>
      <c r="X653" s="145"/>
      <c r="Y653" s="145"/>
      <c r="Z653" s="145"/>
      <c r="AA653" s="145"/>
      <c r="AB653" s="145"/>
      <c r="AC653" s="145"/>
      <c r="AD653" s="145"/>
      <c r="AE653" s="145"/>
      <c r="AF653" s="145"/>
      <c r="AG653" s="145"/>
      <c r="AH653" s="145"/>
      <c r="AI653" s="145"/>
    </row>
    <row r="654" spans="1:35" ht="30" hidden="1" x14ac:dyDescent="0.25">
      <c r="B654" s="376"/>
      <c r="C654" s="376" t="s">
        <v>299</v>
      </c>
      <c r="D654" s="264" t="s">
        <v>388</v>
      </c>
      <c r="E654" s="13"/>
      <c r="F654" s="2">
        <f>F655/4</f>
        <v>13750</v>
      </c>
      <c r="G654" s="2"/>
      <c r="H654" s="2"/>
      <c r="I654" s="2"/>
      <c r="J654" s="145"/>
      <c r="K654" s="145"/>
      <c r="L654" s="145"/>
      <c r="M654" s="145"/>
      <c r="N654" s="145"/>
      <c r="O654" s="145"/>
      <c r="P654" s="145"/>
      <c r="Q654" s="145"/>
      <c r="R654" s="145"/>
      <c r="S654" s="145"/>
      <c r="T654" s="145"/>
      <c r="U654" s="145"/>
      <c r="V654" s="145"/>
      <c r="W654" s="145"/>
      <c r="X654" s="145"/>
      <c r="Y654" s="145"/>
      <c r="Z654" s="145"/>
      <c r="AA654" s="145"/>
      <c r="AB654" s="145"/>
      <c r="AC654" s="145"/>
      <c r="AD654" s="145"/>
      <c r="AE654" s="145"/>
      <c r="AF654" s="145"/>
      <c r="AG654" s="145"/>
      <c r="AH654" s="145"/>
      <c r="AI654" s="145"/>
    </row>
    <row r="655" spans="1:35" ht="30" hidden="1" x14ac:dyDescent="0.25">
      <c r="B655" s="376"/>
      <c r="C655" s="376" t="s">
        <v>299</v>
      </c>
      <c r="D655" s="15" t="s">
        <v>390</v>
      </c>
      <c r="E655" s="13"/>
      <c r="F655" s="2">
        <v>55000</v>
      </c>
      <c r="G655" s="2"/>
      <c r="H655" s="2"/>
      <c r="I655" s="2"/>
      <c r="J655" s="145"/>
      <c r="K655" s="145"/>
      <c r="L655" s="145"/>
      <c r="M655" s="145"/>
      <c r="N655" s="145"/>
      <c r="O655" s="145"/>
      <c r="P655" s="145"/>
      <c r="Q655" s="145"/>
      <c r="R655" s="145"/>
      <c r="S655" s="145"/>
      <c r="T655" s="145"/>
      <c r="U655" s="145"/>
      <c r="V655" s="145"/>
      <c r="W655" s="145"/>
      <c r="X655" s="145"/>
      <c r="Y655" s="145"/>
      <c r="Z655" s="145"/>
      <c r="AA655" s="145"/>
      <c r="AB655" s="145"/>
      <c r="AC655" s="145"/>
      <c r="AD655" s="145"/>
      <c r="AE655" s="145"/>
      <c r="AF655" s="145"/>
      <c r="AG655" s="145"/>
      <c r="AH655" s="145"/>
      <c r="AI655" s="145"/>
    </row>
    <row r="656" spans="1:35" hidden="1" x14ac:dyDescent="0.25">
      <c r="B656" s="376"/>
      <c r="C656" s="376" t="s">
        <v>299</v>
      </c>
      <c r="D656" s="14" t="s">
        <v>253</v>
      </c>
      <c r="E656" s="13"/>
      <c r="F656" s="2">
        <f>F657</f>
        <v>72872.340425531904</v>
      </c>
      <c r="G656" s="2"/>
      <c r="H656" s="2"/>
      <c r="I656" s="2"/>
      <c r="J656" s="145"/>
      <c r="K656" s="145"/>
      <c r="L656" s="145"/>
      <c r="M656" s="145"/>
      <c r="N656" s="145"/>
      <c r="O656" s="145"/>
      <c r="P656" s="145"/>
      <c r="Q656" s="145"/>
      <c r="R656" s="145"/>
      <c r="S656" s="145"/>
      <c r="T656" s="145"/>
      <c r="U656" s="145"/>
      <c r="V656" s="145"/>
      <c r="W656" s="145"/>
      <c r="X656" s="145"/>
      <c r="Y656" s="145"/>
      <c r="Z656" s="145"/>
      <c r="AA656" s="145"/>
      <c r="AB656" s="145"/>
      <c r="AC656" s="145"/>
      <c r="AD656" s="145"/>
      <c r="AE656" s="145"/>
      <c r="AF656" s="145"/>
      <c r="AG656" s="145"/>
      <c r="AH656" s="145"/>
      <c r="AI656" s="145"/>
    </row>
    <row r="657" spans="1:35" hidden="1" x14ac:dyDescent="0.25">
      <c r="B657" s="376"/>
      <c r="C657" s="376" t="s">
        <v>299</v>
      </c>
      <c r="D657" s="15" t="s">
        <v>255</v>
      </c>
      <c r="E657" s="13"/>
      <c r="F657" s="2">
        <f>F658/9.4+F659/9.4</f>
        <v>72872.340425531904</v>
      </c>
      <c r="G657" s="2"/>
      <c r="H657" s="2"/>
      <c r="I657" s="2"/>
      <c r="J657" s="145"/>
      <c r="K657" s="145"/>
      <c r="L657" s="145"/>
      <c r="M657" s="145"/>
      <c r="N657" s="145"/>
      <c r="O657" s="145"/>
      <c r="P657" s="145"/>
      <c r="Q657" s="145"/>
      <c r="R657" s="145"/>
      <c r="S657" s="145"/>
      <c r="T657" s="145"/>
      <c r="U657" s="145"/>
      <c r="V657" s="145"/>
      <c r="W657" s="145"/>
      <c r="X657" s="145"/>
      <c r="Y657" s="145"/>
      <c r="Z657" s="145"/>
      <c r="AA657" s="145"/>
      <c r="AB657" s="145"/>
      <c r="AC657" s="145"/>
      <c r="AD657" s="145"/>
      <c r="AE657" s="145"/>
      <c r="AF657" s="145"/>
      <c r="AG657" s="145"/>
      <c r="AH657" s="145"/>
      <c r="AI657" s="145"/>
    </row>
    <row r="658" spans="1:35" hidden="1" x14ac:dyDescent="0.25">
      <c r="B658" s="376"/>
      <c r="C658" s="376" t="s">
        <v>299</v>
      </c>
      <c r="D658" s="42" t="s">
        <v>261</v>
      </c>
      <c r="E658" s="13"/>
      <c r="F658" s="2">
        <v>680500</v>
      </c>
      <c r="G658" s="2"/>
      <c r="H658" s="2"/>
      <c r="I658" s="2"/>
      <c r="J658" s="145"/>
      <c r="K658" s="145"/>
      <c r="L658" s="145"/>
      <c r="M658" s="145"/>
      <c r="N658" s="145"/>
      <c r="O658" s="145"/>
      <c r="P658" s="145"/>
      <c r="Q658" s="145"/>
      <c r="R658" s="145"/>
      <c r="S658" s="145"/>
      <c r="T658" s="145"/>
      <c r="U658" s="145"/>
      <c r="V658" s="145"/>
      <c r="W658" s="145"/>
      <c r="X658" s="145"/>
      <c r="Y658" s="145"/>
      <c r="Z658" s="145"/>
      <c r="AA658" s="145"/>
      <c r="AB658" s="145"/>
      <c r="AC658" s="145"/>
      <c r="AD658" s="145"/>
      <c r="AE658" s="145"/>
      <c r="AF658" s="145"/>
      <c r="AG658" s="145"/>
      <c r="AH658" s="145"/>
      <c r="AI658" s="145"/>
    </row>
    <row r="659" spans="1:35" hidden="1" x14ac:dyDescent="0.25">
      <c r="B659" s="376"/>
      <c r="C659" s="376" t="s">
        <v>299</v>
      </c>
      <c r="D659" s="42" t="s">
        <v>264</v>
      </c>
      <c r="E659" s="13"/>
      <c r="F659" s="2">
        <v>4500</v>
      </c>
      <c r="G659" s="2"/>
      <c r="H659" s="2"/>
      <c r="I659" s="2"/>
      <c r="J659" s="145"/>
      <c r="K659" s="145"/>
      <c r="L659" s="145"/>
      <c r="M659" s="145"/>
      <c r="N659" s="145"/>
      <c r="O659" s="145"/>
      <c r="P659" s="145"/>
      <c r="Q659" s="145"/>
      <c r="R659" s="145"/>
      <c r="S659" s="145"/>
      <c r="T659" s="145"/>
      <c r="U659" s="145"/>
      <c r="V659" s="145"/>
      <c r="W659" s="145"/>
      <c r="X659" s="145"/>
      <c r="Y659" s="145"/>
      <c r="Z659" s="145"/>
      <c r="AA659" s="145"/>
      <c r="AB659" s="145"/>
      <c r="AC659" s="145"/>
      <c r="AD659" s="145"/>
      <c r="AE659" s="145"/>
      <c r="AF659" s="145"/>
      <c r="AG659" s="145"/>
      <c r="AH659" s="145"/>
      <c r="AI659" s="145"/>
    </row>
    <row r="660" spans="1:35" hidden="1" x14ac:dyDescent="0.25">
      <c r="B660" s="376"/>
      <c r="C660" s="376" t="s">
        <v>299</v>
      </c>
      <c r="D660" s="21" t="s">
        <v>195</v>
      </c>
      <c r="E660" s="24"/>
      <c r="F660" s="29">
        <f>F653</f>
        <v>13750</v>
      </c>
      <c r="G660" s="24"/>
      <c r="H660" s="24"/>
      <c r="I660" s="24"/>
      <c r="J660" s="145"/>
      <c r="K660" s="145"/>
      <c r="L660" s="145"/>
      <c r="M660" s="145"/>
      <c r="N660" s="145"/>
      <c r="O660" s="145"/>
      <c r="P660" s="145"/>
      <c r="Q660" s="145"/>
      <c r="R660" s="145"/>
      <c r="S660" s="145"/>
      <c r="T660" s="145"/>
      <c r="U660" s="145"/>
      <c r="V660" s="145"/>
      <c r="W660" s="145"/>
      <c r="X660" s="145"/>
      <c r="Y660" s="145"/>
      <c r="Z660" s="145"/>
      <c r="AA660" s="145"/>
      <c r="AB660" s="145"/>
      <c r="AC660" s="145"/>
      <c r="AD660" s="145"/>
      <c r="AE660" s="145"/>
      <c r="AF660" s="145"/>
      <c r="AG660" s="145"/>
      <c r="AH660" s="145"/>
      <c r="AI660" s="145"/>
    </row>
    <row r="661" spans="1:35" hidden="1" x14ac:dyDescent="0.25">
      <c r="B661" s="376"/>
      <c r="C661" s="376" t="s">
        <v>299</v>
      </c>
      <c r="D661" s="21" t="s">
        <v>197</v>
      </c>
      <c r="E661" s="13"/>
      <c r="F661" s="29">
        <f>F656</f>
        <v>72872.340425531904</v>
      </c>
      <c r="G661" s="2"/>
      <c r="H661" s="2"/>
      <c r="I661" s="2"/>
      <c r="J661" s="145"/>
      <c r="K661" s="145"/>
      <c r="L661" s="145"/>
      <c r="M661" s="145"/>
      <c r="N661" s="145"/>
      <c r="O661" s="145"/>
      <c r="P661" s="145"/>
      <c r="Q661" s="145"/>
      <c r="R661" s="145"/>
      <c r="S661" s="145"/>
      <c r="T661" s="145"/>
      <c r="U661" s="145"/>
      <c r="V661" s="145"/>
      <c r="W661" s="145"/>
      <c r="X661" s="145"/>
      <c r="Y661" s="145"/>
      <c r="Z661" s="145"/>
      <c r="AA661" s="145"/>
      <c r="AB661" s="145"/>
      <c r="AC661" s="145"/>
      <c r="AD661" s="145"/>
      <c r="AE661" s="145"/>
      <c r="AF661" s="145"/>
      <c r="AG661" s="145"/>
      <c r="AH661" s="145"/>
      <c r="AI661" s="145"/>
    </row>
    <row r="662" spans="1:35" hidden="1" x14ac:dyDescent="0.25">
      <c r="B662" s="376"/>
      <c r="C662" s="376" t="s">
        <v>299</v>
      </c>
      <c r="D662" s="22" t="s">
        <v>112</v>
      </c>
      <c r="E662" s="13"/>
      <c r="F662" s="29">
        <f>F660+F658/4.2+F659/4.2</f>
        <v>176845.23809523811</v>
      </c>
      <c r="G662" s="2"/>
      <c r="H662" s="2"/>
      <c r="I662" s="2"/>
      <c r="J662" s="145"/>
      <c r="K662" s="145"/>
      <c r="L662" s="145"/>
      <c r="M662" s="145"/>
      <c r="N662" s="145"/>
      <c r="O662" s="145"/>
      <c r="P662" s="145"/>
      <c r="Q662" s="145"/>
      <c r="R662" s="145"/>
      <c r="S662" s="145"/>
      <c r="T662" s="145"/>
      <c r="U662" s="145"/>
      <c r="V662" s="145"/>
      <c r="W662" s="145"/>
      <c r="X662" s="145"/>
      <c r="Y662" s="145"/>
      <c r="Z662" s="145"/>
      <c r="AA662" s="145"/>
      <c r="AB662" s="145"/>
      <c r="AC662" s="145"/>
      <c r="AD662" s="145"/>
      <c r="AE662" s="145"/>
      <c r="AF662" s="145"/>
      <c r="AG662" s="145"/>
      <c r="AH662" s="145"/>
      <c r="AI662" s="145"/>
    </row>
    <row r="663" spans="1:35" ht="15.75" hidden="1" thickBot="1" x14ac:dyDescent="0.3">
      <c r="B663" s="376"/>
      <c r="C663" s="376" t="s">
        <v>299</v>
      </c>
      <c r="D663" s="652" t="s">
        <v>213</v>
      </c>
      <c r="E663" s="653"/>
      <c r="F663" s="653"/>
      <c r="G663" s="653"/>
      <c r="H663" s="653"/>
      <c r="I663" s="653"/>
      <c r="J663" s="145"/>
      <c r="K663" s="145"/>
      <c r="L663" s="145"/>
      <c r="M663" s="145"/>
      <c r="N663" s="145"/>
      <c r="O663" s="145"/>
      <c r="P663" s="145"/>
      <c r="Q663" s="145"/>
      <c r="R663" s="145"/>
      <c r="S663" s="145"/>
      <c r="T663" s="145"/>
      <c r="U663" s="145"/>
      <c r="V663" s="145"/>
      <c r="W663" s="145"/>
      <c r="X663" s="145"/>
      <c r="Y663" s="145"/>
      <c r="Z663" s="145"/>
      <c r="AA663" s="145"/>
      <c r="AB663" s="145"/>
      <c r="AC663" s="145"/>
      <c r="AD663" s="145"/>
      <c r="AE663" s="145"/>
      <c r="AF663" s="145"/>
      <c r="AG663" s="145"/>
      <c r="AH663" s="145"/>
      <c r="AI663" s="145"/>
    </row>
    <row r="664" spans="1:35" hidden="1" x14ac:dyDescent="0.25">
      <c r="C664" s="376" t="s">
        <v>299</v>
      </c>
      <c r="D664" s="664"/>
      <c r="E664" s="399"/>
      <c r="F664" s="399"/>
      <c r="G664" s="399"/>
      <c r="H664" s="665"/>
      <c r="I664" s="665"/>
      <c r="J664" s="145"/>
      <c r="K664" s="145"/>
      <c r="L664" s="145"/>
      <c r="M664" s="145"/>
      <c r="N664" s="145"/>
      <c r="O664" s="145"/>
      <c r="P664" s="145"/>
      <c r="Q664" s="145"/>
      <c r="R664" s="145"/>
      <c r="S664" s="145"/>
      <c r="T664" s="145"/>
      <c r="U664" s="145"/>
      <c r="V664" s="145"/>
      <c r="W664" s="145"/>
      <c r="X664" s="145"/>
      <c r="Y664" s="145"/>
      <c r="Z664" s="145"/>
      <c r="AA664" s="145"/>
      <c r="AB664" s="145"/>
      <c r="AC664" s="145"/>
      <c r="AD664" s="145"/>
      <c r="AE664" s="145"/>
      <c r="AF664" s="145"/>
      <c r="AG664" s="145"/>
      <c r="AH664" s="145"/>
      <c r="AI664" s="145"/>
    </row>
    <row r="665" spans="1:35" ht="47.25" hidden="1" x14ac:dyDescent="0.25">
      <c r="A665" s="131">
        <v>1</v>
      </c>
      <c r="B665" s="131" t="s">
        <v>239</v>
      </c>
      <c r="C665" s="376" t="s">
        <v>299</v>
      </c>
      <c r="D665" s="763" t="s">
        <v>376</v>
      </c>
      <c r="E665" s="199"/>
      <c r="F665" s="2"/>
      <c r="G665" s="2"/>
      <c r="H665" s="2"/>
      <c r="I665" s="2"/>
      <c r="J665" s="145"/>
      <c r="K665" s="145"/>
      <c r="L665" s="145"/>
      <c r="M665" s="145"/>
      <c r="N665" s="145"/>
      <c r="O665" s="145"/>
      <c r="P665" s="145"/>
      <c r="Q665" s="145"/>
      <c r="R665" s="145"/>
      <c r="S665" s="145"/>
      <c r="T665" s="145"/>
      <c r="U665" s="145"/>
      <c r="V665" s="145"/>
      <c r="W665" s="145"/>
      <c r="X665" s="145"/>
      <c r="Y665" s="145"/>
      <c r="Z665" s="145"/>
      <c r="AA665" s="145"/>
      <c r="AB665" s="145"/>
      <c r="AC665" s="145"/>
      <c r="AD665" s="145"/>
      <c r="AE665" s="145"/>
      <c r="AF665" s="145"/>
      <c r="AG665" s="145"/>
      <c r="AH665" s="145"/>
      <c r="AI665" s="145"/>
    </row>
    <row r="666" spans="1:35" hidden="1" x14ac:dyDescent="0.25">
      <c r="A666" s="131">
        <v>1</v>
      </c>
      <c r="B666" s="131" t="s">
        <v>239</v>
      </c>
      <c r="C666" s="376" t="s">
        <v>299</v>
      </c>
      <c r="D666" s="137" t="s">
        <v>4</v>
      </c>
      <c r="E666" s="199"/>
      <c r="F666" s="2"/>
      <c r="G666" s="2"/>
      <c r="H666" s="2"/>
      <c r="I666" s="2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  <c r="Z666" s="145"/>
      <c r="AA666" s="145"/>
      <c r="AB666" s="145"/>
      <c r="AC666" s="145"/>
      <c r="AD666" s="145"/>
      <c r="AE666" s="145"/>
      <c r="AF666" s="145"/>
      <c r="AG666" s="145"/>
      <c r="AH666" s="145"/>
      <c r="AI666" s="145"/>
    </row>
    <row r="667" spans="1:35" hidden="1" x14ac:dyDescent="0.25">
      <c r="A667" s="131">
        <v>1</v>
      </c>
      <c r="B667" s="131" t="s">
        <v>239</v>
      </c>
      <c r="C667" s="376" t="s">
        <v>299</v>
      </c>
      <c r="D667" s="46" t="s">
        <v>432</v>
      </c>
      <c r="E667" s="336">
        <v>340</v>
      </c>
      <c r="F667" s="2">
        <v>110</v>
      </c>
      <c r="G667" s="337">
        <v>14</v>
      </c>
      <c r="H667" s="2">
        <f>ROUND(I667/E667,0)</f>
        <v>5</v>
      </c>
      <c r="I667" s="2">
        <f>ROUND(F667*G667,0)</f>
        <v>1540</v>
      </c>
      <c r="J667" s="145"/>
      <c r="K667" s="145"/>
      <c r="L667" s="145"/>
      <c r="M667" s="145"/>
      <c r="N667" s="145"/>
      <c r="O667" s="145"/>
      <c r="P667" s="145"/>
      <c r="Q667" s="145"/>
      <c r="R667" s="145"/>
      <c r="S667" s="145"/>
      <c r="T667" s="145"/>
      <c r="U667" s="145"/>
      <c r="V667" s="145"/>
      <c r="W667" s="145"/>
      <c r="X667" s="145"/>
      <c r="Y667" s="145"/>
      <c r="Z667" s="145"/>
      <c r="AA667" s="145"/>
      <c r="AB667" s="145"/>
      <c r="AC667" s="145"/>
      <c r="AD667" s="145"/>
      <c r="AE667" s="145"/>
      <c r="AF667" s="145"/>
      <c r="AG667" s="145"/>
      <c r="AH667" s="145"/>
      <c r="AI667" s="145"/>
    </row>
    <row r="668" spans="1:35" hidden="1" x14ac:dyDescent="0.25">
      <c r="A668" s="131">
        <v>1</v>
      </c>
      <c r="B668" s="131" t="s">
        <v>239</v>
      </c>
      <c r="C668" s="376" t="s">
        <v>299</v>
      </c>
      <c r="D668" s="141" t="s">
        <v>49</v>
      </c>
      <c r="E668" s="336">
        <v>340</v>
      </c>
      <c r="F668" s="2">
        <v>147</v>
      </c>
      <c r="G668" s="337">
        <v>6</v>
      </c>
      <c r="H668" s="2">
        <f>ROUND(I668/E668,0)</f>
        <v>3</v>
      </c>
      <c r="I668" s="2">
        <f>ROUND(F668*G668,0)</f>
        <v>882</v>
      </c>
      <c r="J668" s="145"/>
      <c r="K668" s="145"/>
      <c r="L668" s="145"/>
      <c r="M668" s="145"/>
      <c r="N668" s="145"/>
      <c r="O668" s="145"/>
      <c r="P668" s="145"/>
      <c r="Q668" s="145"/>
      <c r="R668" s="145"/>
      <c r="S668" s="145"/>
      <c r="T668" s="145"/>
      <c r="U668" s="145"/>
      <c r="V668" s="145"/>
      <c r="W668" s="145"/>
      <c r="X668" s="145"/>
      <c r="Y668" s="145"/>
      <c r="Z668" s="145"/>
      <c r="AA668" s="145"/>
      <c r="AB668" s="145"/>
      <c r="AC668" s="145"/>
      <c r="AD668" s="145"/>
      <c r="AE668" s="145"/>
      <c r="AF668" s="145"/>
      <c r="AG668" s="145"/>
      <c r="AH668" s="145"/>
      <c r="AI668" s="145"/>
    </row>
    <row r="669" spans="1:35" hidden="1" x14ac:dyDescent="0.25">
      <c r="A669" s="131">
        <v>1</v>
      </c>
      <c r="B669" s="131" t="s">
        <v>239</v>
      </c>
      <c r="C669" s="376" t="s">
        <v>299</v>
      </c>
      <c r="D669" s="141" t="s">
        <v>24</v>
      </c>
      <c r="E669" s="336">
        <v>320</v>
      </c>
      <c r="F669" s="2">
        <v>180</v>
      </c>
      <c r="G669" s="337">
        <v>9</v>
      </c>
      <c r="H669" s="2">
        <f>ROUND(I669/E669,0)</f>
        <v>5</v>
      </c>
      <c r="I669" s="2">
        <f>ROUND(F669*G669,0)</f>
        <v>1620</v>
      </c>
      <c r="J669" s="145"/>
      <c r="K669" s="145"/>
      <c r="L669" s="145"/>
      <c r="M669" s="145"/>
      <c r="N669" s="145"/>
      <c r="O669" s="145"/>
      <c r="P669" s="145"/>
      <c r="Q669" s="145"/>
      <c r="R669" s="145"/>
      <c r="S669" s="145"/>
      <c r="T669" s="145"/>
      <c r="U669" s="145"/>
      <c r="V669" s="145"/>
      <c r="W669" s="145"/>
      <c r="X669" s="145"/>
      <c r="Y669" s="145"/>
      <c r="Z669" s="145"/>
      <c r="AA669" s="145"/>
      <c r="AB669" s="145"/>
      <c r="AC669" s="145"/>
      <c r="AD669" s="145"/>
      <c r="AE669" s="145"/>
      <c r="AF669" s="145"/>
      <c r="AG669" s="145"/>
      <c r="AH669" s="145"/>
      <c r="AI669" s="145"/>
    </row>
    <row r="670" spans="1:35" hidden="1" x14ac:dyDescent="0.25">
      <c r="A670" s="131">
        <v>1</v>
      </c>
      <c r="B670" s="131" t="s">
        <v>239</v>
      </c>
      <c r="C670" s="376" t="s">
        <v>299</v>
      </c>
      <c r="D670" s="141" t="s">
        <v>35</v>
      </c>
      <c r="E670" s="336">
        <v>340</v>
      </c>
      <c r="F670" s="2">
        <v>572</v>
      </c>
      <c r="G670" s="337">
        <v>10.5</v>
      </c>
      <c r="H670" s="2">
        <f>ROUND(I670/E670,0)</f>
        <v>18</v>
      </c>
      <c r="I670" s="2">
        <f>ROUND(F670*G670,0)</f>
        <v>6006</v>
      </c>
      <c r="J670" s="145"/>
      <c r="K670" s="145"/>
      <c r="L670" s="145"/>
      <c r="M670" s="145"/>
      <c r="N670" s="145"/>
      <c r="O670" s="145"/>
      <c r="P670" s="145"/>
      <c r="Q670" s="145"/>
      <c r="R670" s="145"/>
      <c r="S670" s="145"/>
      <c r="T670" s="145"/>
      <c r="U670" s="145"/>
      <c r="V670" s="145"/>
      <c r="W670" s="145"/>
      <c r="X670" s="145"/>
      <c r="Y670" s="145"/>
      <c r="Z670" s="145"/>
      <c r="AA670" s="145"/>
      <c r="AB670" s="145"/>
      <c r="AC670" s="145"/>
      <c r="AD670" s="145"/>
      <c r="AE670" s="145"/>
      <c r="AF670" s="145"/>
      <c r="AG670" s="145"/>
      <c r="AH670" s="145"/>
      <c r="AI670" s="145"/>
    </row>
    <row r="671" spans="1:35" hidden="1" x14ac:dyDescent="0.25">
      <c r="C671" s="376" t="s">
        <v>299</v>
      </c>
      <c r="D671" s="141" t="s">
        <v>69</v>
      </c>
      <c r="E671" s="336">
        <v>340</v>
      </c>
      <c r="F671" s="2">
        <v>339</v>
      </c>
      <c r="G671" s="624">
        <v>8.9</v>
      </c>
      <c r="H671" s="2">
        <f>ROUND(I671/E671,0)</f>
        <v>9</v>
      </c>
      <c r="I671" s="2">
        <f>ROUND(F671*G671,0)</f>
        <v>3017</v>
      </c>
      <c r="J671" s="145"/>
      <c r="K671" s="145"/>
      <c r="L671" s="145"/>
      <c r="M671" s="145"/>
      <c r="N671" s="145"/>
      <c r="O671" s="145"/>
      <c r="P671" s="145"/>
      <c r="Q671" s="145"/>
      <c r="R671" s="145"/>
      <c r="S671" s="145"/>
      <c r="T671" s="145"/>
      <c r="U671" s="145"/>
      <c r="V671" s="145"/>
      <c r="W671" s="145"/>
      <c r="X671" s="145"/>
      <c r="Y671" s="145"/>
      <c r="Z671" s="145"/>
      <c r="AA671" s="145"/>
      <c r="AB671" s="145"/>
      <c r="AC671" s="145"/>
      <c r="AD671" s="145"/>
      <c r="AE671" s="145"/>
      <c r="AF671" s="145"/>
      <c r="AG671" s="145"/>
      <c r="AH671" s="145"/>
      <c r="AI671" s="145"/>
    </row>
    <row r="672" spans="1:35" hidden="1" x14ac:dyDescent="0.25">
      <c r="A672" s="131">
        <v>1</v>
      </c>
      <c r="B672" s="131" t="s">
        <v>239</v>
      </c>
      <c r="C672" s="376" t="s">
        <v>299</v>
      </c>
      <c r="D672" s="390" t="s">
        <v>5</v>
      </c>
      <c r="E672" s="199"/>
      <c r="F672" s="29">
        <f>SUM(F667:F671)</f>
        <v>1348</v>
      </c>
      <c r="G672" s="158">
        <f>I672/F672</f>
        <v>9.6921364985163212</v>
      </c>
      <c r="H672" s="29">
        <f>SUM(H667:H671)</f>
        <v>40</v>
      </c>
      <c r="I672" s="29">
        <f>SUM(I667:I671)</f>
        <v>13065</v>
      </c>
      <c r="J672" s="145"/>
      <c r="K672" s="145"/>
      <c r="L672" s="145"/>
      <c r="M672" s="145"/>
      <c r="N672" s="145"/>
      <c r="O672" s="145"/>
      <c r="P672" s="145"/>
      <c r="Q672" s="145"/>
      <c r="R672" s="145"/>
      <c r="S672" s="145"/>
      <c r="T672" s="145"/>
      <c r="U672" s="145"/>
      <c r="V672" s="145"/>
      <c r="W672" s="145"/>
      <c r="X672" s="145"/>
      <c r="Y672" s="145"/>
      <c r="Z672" s="145"/>
      <c r="AA672" s="145"/>
      <c r="AB672" s="145"/>
      <c r="AC672" s="145"/>
      <c r="AD672" s="145"/>
      <c r="AE672" s="145"/>
      <c r="AF672" s="145"/>
      <c r="AG672" s="145"/>
      <c r="AH672" s="145"/>
      <c r="AI672" s="145"/>
    </row>
    <row r="673" spans="1:35" hidden="1" x14ac:dyDescent="0.25">
      <c r="B673" s="131" t="s">
        <v>239</v>
      </c>
      <c r="C673" s="376" t="s">
        <v>299</v>
      </c>
      <c r="D673" s="143" t="s">
        <v>207</v>
      </c>
      <c r="E673" s="199"/>
      <c r="F673" s="29">
        <v>14</v>
      </c>
      <c r="G673" s="158"/>
      <c r="H673" s="29"/>
      <c r="I673" s="29"/>
      <c r="J673" s="145"/>
      <c r="K673" s="145"/>
      <c r="L673" s="145"/>
      <c r="M673" s="145"/>
      <c r="N673" s="145"/>
      <c r="O673" s="145"/>
      <c r="P673" s="145"/>
      <c r="Q673" s="145"/>
      <c r="R673" s="145"/>
      <c r="S673" s="145"/>
      <c r="T673" s="145"/>
      <c r="U673" s="145"/>
      <c r="V673" s="145"/>
      <c r="W673" s="145"/>
      <c r="X673" s="145"/>
      <c r="Y673" s="145"/>
      <c r="Z673" s="145"/>
      <c r="AA673" s="145"/>
      <c r="AB673" s="145"/>
      <c r="AC673" s="145"/>
      <c r="AD673" s="145"/>
      <c r="AE673" s="145"/>
      <c r="AF673" s="145"/>
      <c r="AG673" s="145"/>
      <c r="AH673" s="145"/>
      <c r="AI673" s="145"/>
    </row>
    <row r="674" spans="1:35" s="55" customFormat="1" hidden="1" x14ac:dyDescent="0.25">
      <c r="A674" s="131">
        <v>1</v>
      </c>
      <c r="B674" s="131" t="s">
        <v>239</v>
      </c>
      <c r="C674" s="376" t="s">
        <v>299</v>
      </c>
      <c r="D674" s="12" t="s">
        <v>250</v>
      </c>
      <c r="E674" s="12"/>
      <c r="F674" s="77"/>
      <c r="G674" s="54"/>
      <c r="H674" s="54"/>
      <c r="I674" s="54"/>
    </row>
    <row r="675" spans="1:35" s="55" customFormat="1" hidden="1" x14ac:dyDescent="0.25">
      <c r="A675" s="131"/>
      <c r="B675" s="131" t="s">
        <v>239</v>
      </c>
      <c r="C675" s="376" t="s">
        <v>299</v>
      </c>
      <c r="D675" s="14" t="s">
        <v>192</v>
      </c>
      <c r="E675" s="12"/>
      <c r="F675" s="77">
        <f>F677+F679+F680</f>
        <v>41014</v>
      </c>
      <c r="G675" s="54"/>
      <c r="H675" s="54"/>
      <c r="I675" s="54"/>
    </row>
    <row r="676" spans="1:35" s="55" customFormat="1" hidden="1" x14ac:dyDescent="0.25">
      <c r="A676" s="131"/>
      <c r="B676" s="131" t="s">
        <v>239</v>
      </c>
      <c r="C676" s="376" t="s">
        <v>299</v>
      </c>
      <c r="D676" s="18" t="s">
        <v>116</v>
      </c>
      <c r="E676" s="12"/>
      <c r="F676" s="77"/>
      <c r="G676" s="54"/>
      <c r="H676" s="54"/>
      <c r="I676" s="54"/>
    </row>
    <row r="677" spans="1:35" s="55" customFormat="1" ht="30" hidden="1" x14ac:dyDescent="0.25">
      <c r="A677" s="131"/>
      <c r="B677" s="131" t="s">
        <v>239</v>
      </c>
      <c r="C677" s="376" t="s">
        <v>299</v>
      </c>
      <c r="D677" s="15" t="s">
        <v>397</v>
      </c>
      <c r="E677" s="12"/>
      <c r="F677" s="62">
        <v>22914</v>
      </c>
      <c r="G677" s="54"/>
      <c r="H677" s="54"/>
      <c r="I677" s="54"/>
    </row>
    <row r="678" spans="1:35" s="55" customFormat="1" ht="45" hidden="1" x14ac:dyDescent="0.25">
      <c r="A678" s="131"/>
      <c r="B678" s="131" t="s">
        <v>239</v>
      </c>
      <c r="C678" s="376" t="s">
        <v>299</v>
      </c>
      <c r="D678" s="15" t="s">
        <v>398</v>
      </c>
      <c r="E678" s="12"/>
      <c r="F678" s="62"/>
      <c r="G678" s="54"/>
      <c r="H678" s="54"/>
      <c r="I678" s="54"/>
    </row>
    <row r="679" spans="1:35" s="55" customFormat="1" ht="45" hidden="1" x14ac:dyDescent="0.25">
      <c r="A679" s="131"/>
      <c r="B679" s="131" t="s">
        <v>239</v>
      </c>
      <c r="C679" s="376" t="s">
        <v>299</v>
      </c>
      <c r="D679" s="15" t="s">
        <v>399</v>
      </c>
      <c r="E679" s="12"/>
      <c r="F679" s="62">
        <v>16000</v>
      </c>
      <c r="G679" s="54"/>
      <c r="H679" s="54"/>
      <c r="I679" s="54"/>
    </row>
    <row r="680" spans="1:35" s="55" customFormat="1" ht="75" hidden="1" x14ac:dyDescent="0.25">
      <c r="A680" s="131"/>
      <c r="B680" s="131"/>
      <c r="C680" s="376" t="s">
        <v>299</v>
      </c>
      <c r="D680" s="15" t="s">
        <v>400</v>
      </c>
      <c r="E680" s="12"/>
      <c r="F680" s="62">
        <v>2100</v>
      </c>
      <c r="G680" s="54"/>
      <c r="H680" s="54"/>
      <c r="I680" s="54"/>
    </row>
    <row r="681" spans="1:35" s="55" customFormat="1" hidden="1" x14ac:dyDescent="0.25">
      <c r="A681" s="131"/>
      <c r="B681" s="131" t="s">
        <v>239</v>
      </c>
      <c r="C681" s="376" t="s">
        <v>299</v>
      </c>
      <c r="D681" s="57" t="s">
        <v>90</v>
      </c>
      <c r="E681" s="12"/>
      <c r="F681" s="77">
        <f>F682+F683+F684</f>
        <v>13319</v>
      </c>
      <c r="G681" s="54"/>
      <c r="H681" s="54"/>
      <c r="I681" s="54"/>
    </row>
    <row r="682" spans="1:35" s="55" customFormat="1" hidden="1" x14ac:dyDescent="0.25">
      <c r="A682" s="131"/>
      <c r="B682" s="131" t="s">
        <v>239</v>
      </c>
      <c r="C682" s="376" t="s">
        <v>299</v>
      </c>
      <c r="D682" s="15" t="s">
        <v>145</v>
      </c>
      <c r="E682" s="12"/>
      <c r="F682" s="62">
        <v>11122</v>
      </c>
      <c r="G682" s="54"/>
      <c r="H682" s="54"/>
      <c r="I682" s="54"/>
    </row>
    <row r="683" spans="1:35" s="55" customFormat="1" ht="45" hidden="1" x14ac:dyDescent="0.25">
      <c r="A683" s="131"/>
      <c r="B683" s="131"/>
      <c r="C683" s="376"/>
      <c r="D683" s="15" t="s">
        <v>414</v>
      </c>
      <c r="E683" s="12"/>
      <c r="F683" s="62">
        <v>489</v>
      </c>
      <c r="G683" s="54"/>
      <c r="H683" s="54"/>
      <c r="I683" s="54"/>
    </row>
    <row r="684" spans="1:35" s="55" customFormat="1" ht="60" hidden="1" x14ac:dyDescent="0.25">
      <c r="A684" s="131"/>
      <c r="B684" s="131"/>
      <c r="C684" s="376"/>
      <c r="D684" s="15" t="s">
        <v>421</v>
      </c>
      <c r="E684" s="12"/>
      <c r="F684" s="62">
        <v>1708</v>
      </c>
      <c r="G684" s="54"/>
      <c r="H684" s="54"/>
      <c r="I684" s="54"/>
    </row>
    <row r="685" spans="1:35" s="55" customFormat="1" hidden="1" x14ac:dyDescent="0.25">
      <c r="A685" s="131"/>
      <c r="B685" s="131"/>
      <c r="C685" s="376"/>
      <c r="D685" s="33" t="s">
        <v>98</v>
      </c>
      <c r="E685" s="12"/>
      <c r="F685" s="62"/>
      <c r="G685" s="54"/>
      <c r="H685" s="54"/>
      <c r="I685" s="54"/>
    </row>
    <row r="686" spans="1:35" s="55" customFormat="1" ht="75" hidden="1" x14ac:dyDescent="0.25">
      <c r="A686" s="131"/>
      <c r="B686" s="131"/>
      <c r="C686" s="376"/>
      <c r="D686" s="15" t="s">
        <v>420</v>
      </c>
      <c r="E686" s="12"/>
      <c r="F686" s="62">
        <v>8541</v>
      </c>
      <c r="G686" s="54"/>
      <c r="H686" s="54"/>
      <c r="I686" s="54"/>
    </row>
    <row r="687" spans="1:35" s="55" customFormat="1" ht="47.25" hidden="1" x14ac:dyDescent="0.25">
      <c r="A687" s="131"/>
      <c r="B687" s="131" t="s">
        <v>239</v>
      </c>
      <c r="C687" s="376" t="s">
        <v>299</v>
      </c>
      <c r="D687" s="58" t="s">
        <v>333</v>
      </c>
      <c r="E687" s="12"/>
      <c r="F687" s="77">
        <f>F688+F695</f>
        <v>12018</v>
      </c>
      <c r="G687" s="54"/>
      <c r="H687" s="54"/>
      <c r="I687" s="54"/>
    </row>
    <row r="688" spans="1:35" s="55" customFormat="1" ht="30" hidden="1" x14ac:dyDescent="0.25">
      <c r="A688" s="131"/>
      <c r="B688" s="131" t="s">
        <v>239</v>
      </c>
      <c r="C688" s="376" t="s">
        <v>299</v>
      </c>
      <c r="D688" s="16" t="s">
        <v>193</v>
      </c>
      <c r="E688" s="12"/>
      <c r="F688" s="77">
        <f>SUM(F689:F694)-F692</f>
        <v>8456</v>
      </c>
      <c r="G688" s="54"/>
      <c r="H688" s="54"/>
      <c r="I688" s="54"/>
    </row>
    <row r="689" spans="1:35" s="55" customFormat="1" ht="30" hidden="1" x14ac:dyDescent="0.25">
      <c r="A689" s="131"/>
      <c r="B689" s="131" t="s">
        <v>239</v>
      </c>
      <c r="C689" s="376" t="s">
        <v>299</v>
      </c>
      <c r="D689" s="15" t="s">
        <v>334</v>
      </c>
      <c r="E689" s="12"/>
      <c r="F689" s="62">
        <v>7810</v>
      </c>
      <c r="G689" s="54"/>
      <c r="H689" s="54"/>
      <c r="I689" s="54"/>
    </row>
    <row r="690" spans="1:35" s="55" customFormat="1" ht="45" hidden="1" x14ac:dyDescent="0.25">
      <c r="A690" s="131"/>
      <c r="B690" s="131" t="s">
        <v>239</v>
      </c>
      <c r="C690" s="376" t="s">
        <v>299</v>
      </c>
      <c r="D690" s="15" t="s">
        <v>402</v>
      </c>
      <c r="E690" s="12"/>
      <c r="F690" s="77"/>
      <c r="G690" s="54"/>
      <c r="H690" s="54"/>
      <c r="I690" s="54"/>
    </row>
    <row r="691" spans="1:35" s="55" customFormat="1" ht="30" hidden="1" x14ac:dyDescent="0.25">
      <c r="A691" s="131"/>
      <c r="B691" s="131"/>
      <c r="C691" s="376"/>
      <c r="D691" s="15" t="s">
        <v>380</v>
      </c>
      <c r="E691" s="12"/>
      <c r="F691" s="77">
        <v>646</v>
      </c>
      <c r="G691" s="54"/>
      <c r="H691" s="54"/>
      <c r="I691" s="54"/>
    </row>
    <row r="692" spans="1:35" s="55" customFormat="1" ht="30" hidden="1" x14ac:dyDescent="0.25">
      <c r="A692" s="131"/>
      <c r="B692" s="131"/>
      <c r="C692" s="376"/>
      <c r="D692" s="15" t="s">
        <v>381</v>
      </c>
      <c r="E692" s="12"/>
      <c r="F692" s="77"/>
      <c r="G692" s="54"/>
      <c r="H692" s="54"/>
      <c r="I692" s="54"/>
    </row>
    <row r="693" spans="1:35" s="55" customFormat="1" ht="30" hidden="1" x14ac:dyDescent="0.25">
      <c r="A693" s="131"/>
      <c r="B693" s="131" t="s">
        <v>239</v>
      </c>
      <c r="C693" s="376" t="s">
        <v>299</v>
      </c>
      <c r="D693" s="15" t="s">
        <v>382</v>
      </c>
      <c r="E693" s="12"/>
      <c r="F693" s="77"/>
      <c r="G693" s="54"/>
      <c r="H693" s="54"/>
      <c r="I693" s="54"/>
    </row>
    <row r="694" spans="1:35" s="55" customFormat="1" ht="30" hidden="1" x14ac:dyDescent="0.25">
      <c r="A694" s="131">
        <v>1</v>
      </c>
      <c r="B694" s="131" t="s">
        <v>239</v>
      </c>
      <c r="C694" s="376" t="s">
        <v>299</v>
      </c>
      <c r="D694" s="15" t="s">
        <v>383</v>
      </c>
      <c r="E694" s="59"/>
      <c r="F694" s="54"/>
      <c r="G694" s="54"/>
      <c r="H694" s="54"/>
      <c r="I694" s="54"/>
    </row>
    <row r="695" spans="1:35" s="55" customFormat="1" ht="30" hidden="1" x14ac:dyDescent="0.25">
      <c r="A695" s="131">
        <v>1</v>
      </c>
      <c r="B695" s="131" t="s">
        <v>239</v>
      </c>
      <c r="C695" s="376" t="s">
        <v>299</v>
      </c>
      <c r="D695" s="16" t="s">
        <v>194</v>
      </c>
      <c r="E695" s="24"/>
      <c r="F695" s="29">
        <f>SUM(F696:F698)</f>
        <v>3562</v>
      </c>
      <c r="G695" s="24"/>
      <c r="H695" s="24"/>
      <c r="I695" s="24"/>
    </row>
    <row r="696" spans="1:35" s="55" customFormat="1" ht="30" hidden="1" x14ac:dyDescent="0.25">
      <c r="A696" s="131">
        <v>1</v>
      </c>
      <c r="B696" s="131" t="s">
        <v>239</v>
      </c>
      <c r="C696" s="376" t="s">
        <v>299</v>
      </c>
      <c r="D696" s="15" t="s">
        <v>384</v>
      </c>
      <c r="E696" s="59"/>
      <c r="F696" s="54">
        <v>2054</v>
      </c>
      <c r="G696" s="54"/>
      <c r="H696" s="54"/>
      <c r="I696" s="54"/>
    </row>
    <row r="697" spans="1:35" s="55" customFormat="1" ht="45" hidden="1" x14ac:dyDescent="0.25">
      <c r="A697" s="131">
        <v>1</v>
      </c>
      <c r="B697" s="131" t="s">
        <v>239</v>
      </c>
      <c r="C697" s="376" t="s">
        <v>299</v>
      </c>
      <c r="D697" s="15" t="s">
        <v>385</v>
      </c>
      <c r="E697" s="59"/>
      <c r="F697" s="2">
        <v>1300</v>
      </c>
      <c r="G697" s="54"/>
      <c r="H697" s="54"/>
      <c r="I697" s="54"/>
    </row>
    <row r="698" spans="1:35" s="55" customFormat="1" ht="45" hidden="1" x14ac:dyDescent="0.25">
      <c r="A698" s="131">
        <v>1</v>
      </c>
      <c r="B698" s="131" t="s">
        <v>239</v>
      </c>
      <c r="C698" s="376" t="s">
        <v>299</v>
      </c>
      <c r="D698" s="15" t="s">
        <v>386</v>
      </c>
      <c r="E698" s="59"/>
      <c r="F698" s="2">
        <v>208</v>
      </c>
      <c r="G698" s="54"/>
      <c r="H698" s="54"/>
      <c r="I698" s="54"/>
    </row>
    <row r="699" spans="1:35" s="55" customFormat="1" hidden="1" x14ac:dyDescent="0.25">
      <c r="A699" s="131">
        <v>1</v>
      </c>
      <c r="B699" s="131" t="s">
        <v>239</v>
      </c>
      <c r="C699" s="376" t="s">
        <v>299</v>
      </c>
      <c r="D699" s="14" t="s">
        <v>251</v>
      </c>
      <c r="E699" s="59"/>
      <c r="F699" s="29">
        <f>F700+F701+F707+F708</f>
        <v>3110</v>
      </c>
      <c r="G699" s="54"/>
      <c r="H699" s="54"/>
      <c r="I699" s="54"/>
    </row>
    <row r="700" spans="1:35" s="55" customFormat="1" hidden="1" x14ac:dyDescent="0.25">
      <c r="A700" s="131">
        <v>1</v>
      </c>
      <c r="B700" s="131" t="s">
        <v>239</v>
      </c>
      <c r="C700" s="376" t="s">
        <v>299</v>
      </c>
      <c r="D700" s="15" t="s">
        <v>252</v>
      </c>
      <c r="E700" s="59"/>
      <c r="F700" s="10"/>
      <c r="G700" s="54"/>
      <c r="H700" s="54"/>
      <c r="I700" s="54"/>
    </row>
    <row r="701" spans="1:35" ht="30" hidden="1" x14ac:dyDescent="0.25">
      <c r="A701" s="131">
        <v>1</v>
      </c>
      <c r="B701" s="131" t="s">
        <v>239</v>
      </c>
      <c r="C701" s="376" t="s">
        <v>299</v>
      </c>
      <c r="D701" s="16" t="s">
        <v>388</v>
      </c>
      <c r="E701" s="13"/>
      <c r="F701" s="2">
        <f>F702+F703/4+F704</f>
        <v>25</v>
      </c>
      <c r="G701" s="2"/>
      <c r="H701" s="2"/>
      <c r="I701" s="2"/>
      <c r="J701" s="145"/>
      <c r="K701" s="145"/>
      <c r="L701" s="145"/>
      <c r="M701" s="145"/>
      <c r="N701" s="145"/>
      <c r="O701" s="145"/>
      <c r="P701" s="145"/>
      <c r="Q701" s="145"/>
      <c r="R701" s="145"/>
      <c r="S701" s="145"/>
      <c r="T701" s="145"/>
      <c r="U701" s="145"/>
      <c r="V701" s="145"/>
      <c r="W701" s="145"/>
      <c r="X701" s="145"/>
      <c r="Y701" s="145"/>
      <c r="Z701" s="145"/>
      <c r="AA701" s="145"/>
      <c r="AB701" s="145"/>
      <c r="AC701" s="145"/>
      <c r="AD701" s="145"/>
      <c r="AE701" s="145"/>
      <c r="AF701" s="145"/>
      <c r="AG701" s="145"/>
      <c r="AH701" s="145"/>
      <c r="AI701" s="145"/>
    </row>
    <row r="702" spans="1:35" s="145" customFormat="1" hidden="1" x14ac:dyDescent="0.25">
      <c r="A702" s="131"/>
      <c r="B702" s="131" t="s">
        <v>239</v>
      </c>
      <c r="C702" s="376" t="s">
        <v>299</v>
      </c>
      <c r="D702" s="15" t="s">
        <v>389</v>
      </c>
      <c r="E702" s="13"/>
      <c r="F702" s="13"/>
      <c r="G702" s="10"/>
      <c r="H702" s="10"/>
      <c r="I702" s="10"/>
    </row>
    <row r="703" spans="1:35" ht="30" hidden="1" x14ac:dyDescent="0.25">
      <c r="A703" s="131">
        <v>1</v>
      </c>
      <c r="B703" s="131" t="s">
        <v>239</v>
      </c>
      <c r="C703" s="376" t="s">
        <v>299</v>
      </c>
      <c r="D703" s="15" t="s">
        <v>390</v>
      </c>
      <c r="E703" s="41"/>
      <c r="F703" s="2">
        <v>100</v>
      </c>
      <c r="G703" s="2"/>
      <c r="H703" s="2"/>
      <c r="I703" s="2"/>
      <c r="J703" s="145"/>
      <c r="K703" s="145"/>
      <c r="L703" s="145"/>
      <c r="M703" s="145"/>
      <c r="N703" s="145"/>
      <c r="O703" s="145"/>
      <c r="P703" s="145"/>
      <c r="Q703" s="145"/>
      <c r="R703" s="145"/>
      <c r="S703" s="145"/>
      <c r="T703" s="145"/>
      <c r="U703" s="145"/>
      <c r="V703" s="145"/>
      <c r="W703" s="145"/>
      <c r="X703" s="145"/>
      <c r="Y703" s="145"/>
      <c r="Z703" s="145"/>
      <c r="AA703" s="145"/>
      <c r="AB703" s="145"/>
      <c r="AC703" s="145"/>
      <c r="AD703" s="145"/>
      <c r="AE703" s="145"/>
      <c r="AF703" s="145"/>
      <c r="AG703" s="145"/>
      <c r="AH703" s="145"/>
      <c r="AI703" s="145"/>
    </row>
    <row r="704" spans="1:35" ht="45" hidden="1" x14ac:dyDescent="0.25">
      <c r="A704" s="131">
        <v>1</v>
      </c>
      <c r="B704" s="131" t="s">
        <v>239</v>
      </c>
      <c r="C704" s="376" t="s">
        <v>299</v>
      </c>
      <c r="D704" s="15" t="s">
        <v>391</v>
      </c>
      <c r="E704" s="41"/>
      <c r="F704" s="10"/>
      <c r="G704" s="2"/>
      <c r="H704" s="2"/>
      <c r="I704" s="2"/>
      <c r="J704" s="145"/>
      <c r="K704" s="145"/>
      <c r="L704" s="145"/>
      <c r="M704" s="145"/>
      <c r="N704" s="145"/>
      <c r="O704" s="145"/>
      <c r="P704" s="145"/>
      <c r="Q704" s="145"/>
      <c r="R704" s="145"/>
      <c r="S704" s="145"/>
      <c r="T704" s="145"/>
      <c r="U704" s="145"/>
      <c r="V704" s="145"/>
      <c r="W704" s="145"/>
      <c r="X704" s="145"/>
      <c r="Y704" s="145"/>
      <c r="Z704" s="145"/>
      <c r="AA704" s="145"/>
      <c r="AB704" s="145"/>
      <c r="AC704" s="145"/>
      <c r="AD704" s="145"/>
      <c r="AE704" s="145"/>
      <c r="AF704" s="145"/>
      <c r="AG704" s="145"/>
      <c r="AH704" s="145"/>
      <c r="AI704" s="145"/>
    </row>
    <row r="705" spans="1:9" s="55" customFormat="1" ht="45" hidden="1" x14ac:dyDescent="0.25">
      <c r="A705" s="131">
        <v>1</v>
      </c>
      <c r="B705" s="131" t="s">
        <v>239</v>
      </c>
      <c r="C705" s="376" t="s">
        <v>299</v>
      </c>
      <c r="D705" s="15" t="s">
        <v>392</v>
      </c>
      <c r="E705" s="13"/>
      <c r="F705" s="2"/>
      <c r="G705" s="62"/>
      <c r="H705" s="62"/>
      <c r="I705" s="62"/>
    </row>
    <row r="706" spans="1:9" s="55" customFormat="1" ht="45" hidden="1" x14ac:dyDescent="0.25">
      <c r="A706" s="131">
        <v>1</v>
      </c>
      <c r="B706" s="131" t="s">
        <v>239</v>
      </c>
      <c r="C706" s="376" t="s">
        <v>299</v>
      </c>
      <c r="D706" s="18" t="s">
        <v>393</v>
      </c>
      <c r="E706" s="13"/>
      <c r="F706" s="2"/>
      <c r="G706" s="62"/>
      <c r="H706" s="62"/>
      <c r="I706" s="62"/>
    </row>
    <row r="707" spans="1:9" s="55" customFormat="1" ht="75" hidden="1" x14ac:dyDescent="0.25">
      <c r="A707" s="51"/>
      <c r="B707" s="136"/>
      <c r="C707" s="376" t="s">
        <v>299</v>
      </c>
      <c r="D707" s="18" t="s">
        <v>394</v>
      </c>
      <c r="E707" s="13"/>
      <c r="F707" s="53">
        <v>742</v>
      </c>
      <c r="G707" s="62"/>
      <c r="H707" s="62"/>
      <c r="I707" s="43"/>
    </row>
    <row r="708" spans="1:9" s="55" customFormat="1" ht="30" hidden="1" x14ac:dyDescent="0.25">
      <c r="A708" s="51"/>
      <c r="B708" s="376"/>
      <c r="C708" s="376"/>
      <c r="D708" s="15" t="s">
        <v>395</v>
      </c>
      <c r="E708" s="13"/>
      <c r="F708" s="53">
        <v>2343</v>
      </c>
      <c r="G708" s="62"/>
      <c r="H708" s="62"/>
      <c r="I708" s="43"/>
    </row>
    <row r="709" spans="1:9" s="55" customFormat="1" hidden="1" x14ac:dyDescent="0.25">
      <c r="A709" s="131">
        <v>1</v>
      </c>
      <c r="B709" s="131" t="s">
        <v>239</v>
      </c>
      <c r="C709" s="376" t="s">
        <v>299</v>
      </c>
      <c r="D709" s="14" t="s">
        <v>253</v>
      </c>
      <c r="E709" s="13"/>
      <c r="F709" s="2">
        <f>F710+F711</f>
        <v>531.91489361702122</v>
      </c>
      <c r="G709" s="62"/>
      <c r="H709" s="62"/>
      <c r="I709" s="62"/>
    </row>
    <row r="710" spans="1:9" s="55" customFormat="1" hidden="1" x14ac:dyDescent="0.25">
      <c r="A710" s="131">
        <v>1</v>
      </c>
      <c r="B710" s="131" t="s">
        <v>239</v>
      </c>
      <c r="C710" s="376" t="s">
        <v>299</v>
      </c>
      <c r="D710" s="14" t="s">
        <v>254</v>
      </c>
      <c r="E710" s="13"/>
      <c r="F710" s="2"/>
      <c r="G710" s="62"/>
      <c r="H710" s="62"/>
      <c r="I710" s="62"/>
    </row>
    <row r="711" spans="1:9" s="55" customFormat="1" hidden="1" x14ac:dyDescent="0.25">
      <c r="A711" s="131">
        <v>1</v>
      </c>
      <c r="B711" s="131" t="s">
        <v>239</v>
      </c>
      <c r="C711" s="376" t="s">
        <v>299</v>
      </c>
      <c r="D711" s="15" t="s">
        <v>255</v>
      </c>
      <c r="E711" s="13"/>
      <c r="F711" s="54">
        <f>F712/9.4</f>
        <v>531.91489361702122</v>
      </c>
      <c r="G711" s="62"/>
      <c r="H711" s="62"/>
      <c r="I711" s="62"/>
    </row>
    <row r="712" spans="1:9" s="55" customFormat="1" hidden="1" x14ac:dyDescent="0.25">
      <c r="A712" s="131">
        <v>1</v>
      </c>
      <c r="B712" s="131" t="s">
        <v>239</v>
      </c>
      <c r="C712" s="376" t="s">
        <v>299</v>
      </c>
      <c r="D712" s="42" t="s">
        <v>261</v>
      </c>
      <c r="E712" s="13"/>
      <c r="F712" s="54">
        <v>5000</v>
      </c>
      <c r="G712" s="62"/>
      <c r="H712" s="62"/>
      <c r="I712" s="62"/>
    </row>
    <row r="713" spans="1:9" s="55" customFormat="1" ht="29.25" hidden="1" x14ac:dyDescent="0.25">
      <c r="A713" s="131">
        <v>1</v>
      </c>
      <c r="B713" s="131" t="s">
        <v>239</v>
      </c>
      <c r="C713" s="376" t="s">
        <v>299</v>
      </c>
      <c r="D713" s="14" t="s">
        <v>256</v>
      </c>
      <c r="E713" s="13"/>
      <c r="F713" s="54">
        <v>1200</v>
      </c>
      <c r="G713" s="62"/>
      <c r="H713" s="62"/>
      <c r="I713" s="62"/>
    </row>
    <row r="714" spans="1:9" s="55" customFormat="1" hidden="1" x14ac:dyDescent="0.25">
      <c r="A714" s="131">
        <v>1</v>
      </c>
      <c r="B714" s="131" t="s">
        <v>239</v>
      </c>
      <c r="C714" s="376" t="s">
        <v>299</v>
      </c>
      <c r="D714" s="19" t="s">
        <v>117</v>
      </c>
      <c r="E714" s="13"/>
      <c r="F714" s="54"/>
      <c r="G714" s="62"/>
      <c r="H714" s="62"/>
      <c r="I714" s="62"/>
    </row>
    <row r="715" spans="1:9" s="55" customFormat="1" ht="57.75" hidden="1" x14ac:dyDescent="0.25">
      <c r="A715" s="131">
        <v>1</v>
      </c>
      <c r="B715" s="131" t="s">
        <v>239</v>
      </c>
      <c r="C715" s="376" t="s">
        <v>299</v>
      </c>
      <c r="D715" s="14" t="s">
        <v>257</v>
      </c>
      <c r="E715" s="13"/>
      <c r="F715" s="54">
        <v>200</v>
      </c>
      <c r="G715" s="62"/>
      <c r="H715" s="62"/>
      <c r="I715" s="62"/>
    </row>
    <row r="716" spans="1:9" s="55" customFormat="1" hidden="1" x14ac:dyDescent="0.25">
      <c r="A716" s="131">
        <v>1</v>
      </c>
      <c r="B716" s="131" t="s">
        <v>239</v>
      </c>
      <c r="C716" s="376" t="s">
        <v>299</v>
      </c>
      <c r="D716" s="20" t="s">
        <v>165</v>
      </c>
      <c r="E716" s="13"/>
      <c r="F716" s="86">
        <f>SUM(F717:F719)</f>
        <v>1853</v>
      </c>
      <c r="G716" s="62"/>
      <c r="H716" s="62"/>
      <c r="I716" s="62"/>
    </row>
    <row r="717" spans="1:9" s="55" customFormat="1" ht="75" hidden="1" x14ac:dyDescent="0.25">
      <c r="A717" s="131">
        <v>1</v>
      </c>
      <c r="B717" s="131" t="s">
        <v>239</v>
      </c>
      <c r="C717" s="376" t="s">
        <v>299</v>
      </c>
      <c r="D717" s="35" t="s">
        <v>267</v>
      </c>
      <c r="E717" s="13"/>
      <c r="F717" s="227">
        <v>90</v>
      </c>
      <c r="G717" s="62"/>
      <c r="H717" s="62"/>
      <c r="I717" s="62"/>
    </row>
    <row r="718" spans="1:9" s="55" customFormat="1" ht="30" hidden="1" x14ac:dyDescent="0.25">
      <c r="A718" s="131">
        <v>1</v>
      </c>
      <c r="B718" s="131" t="s">
        <v>239</v>
      </c>
      <c r="C718" s="376" t="s">
        <v>299</v>
      </c>
      <c r="D718" s="35" t="s">
        <v>200</v>
      </c>
      <c r="E718" s="13"/>
      <c r="F718" s="2">
        <v>378</v>
      </c>
      <c r="G718" s="62"/>
      <c r="H718" s="62"/>
      <c r="I718" s="62"/>
    </row>
    <row r="719" spans="1:9" s="55" customFormat="1" ht="30" hidden="1" x14ac:dyDescent="0.25">
      <c r="A719" s="131">
        <v>1</v>
      </c>
      <c r="B719" s="131" t="s">
        <v>239</v>
      </c>
      <c r="C719" s="376" t="s">
        <v>299</v>
      </c>
      <c r="D719" s="212" t="s">
        <v>199</v>
      </c>
      <c r="E719" s="13"/>
      <c r="F719" s="369">
        <v>1385</v>
      </c>
      <c r="G719" s="62"/>
      <c r="H719" s="62"/>
      <c r="I719" s="62"/>
    </row>
    <row r="720" spans="1:9" s="55" customFormat="1" ht="43.5" hidden="1" x14ac:dyDescent="0.25">
      <c r="A720" s="131"/>
      <c r="B720" s="131"/>
      <c r="C720" s="376"/>
      <c r="D720" s="21" t="s">
        <v>396</v>
      </c>
      <c r="E720" s="13"/>
      <c r="F720" s="43">
        <f>F686</f>
        <v>8541</v>
      </c>
      <c r="G720" s="62"/>
      <c r="H720" s="62"/>
      <c r="I720" s="62"/>
    </row>
    <row r="721" spans="1:35" s="55" customFormat="1" hidden="1" x14ac:dyDescent="0.25">
      <c r="A721" s="131">
        <v>1</v>
      </c>
      <c r="B721" s="131" t="s">
        <v>239</v>
      </c>
      <c r="C721" s="376" t="s">
        <v>299</v>
      </c>
      <c r="D721" s="21" t="s">
        <v>195</v>
      </c>
      <c r="E721" s="13"/>
      <c r="F721" s="76">
        <f>F699+F675</f>
        <v>44124</v>
      </c>
      <c r="G721" s="62"/>
      <c r="H721" s="62"/>
      <c r="I721" s="62"/>
    </row>
    <row r="722" spans="1:35" s="55" customFormat="1" ht="29.25" hidden="1" x14ac:dyDescent="0.25">
      <c r="A722" s="131">
        <v>1</v>
      </c>
      <c r="B722" s="131" t="s">
        <v>239</v>
      </c>
      <c r="C722" s="376" t="s">
        <v>299</v>
      </c>
      <c r="D722" s="21" t="s">
        <v>196</v>
      </c>
      <c r="E722" s="13"/>
      <c r="F722" s="76">
        <f>F687</f>
        <v>12018</v>
      </c>
      <c r="G722" s="62"/>
      <c r="H722" s="62"/>
      <c r="I722" s="62"/>
    </row>
    <row r="723" spans="1:35" s="55" customFormat="1" hidden="1" x14ac:dyDescent="0.25">
      <c r="A723" s="131">
        <v>1</v>
      </c>
      <c r="B723" s="131" t="s">
        <v>239</v>
      </c>
      <c r="C723" s="376" t="s">
        <v>299</v>
      </c>
      <c r="D723" s="21" t="s">
        <v>197</v>
      </c>
      <c r="E723" s="13"/>
      <c r="F723" s="76">
        <f>F709+F681</f>
        <v>13850.91489361702</v>
      </c>
      <c r="G723" s="62"/>
      <c r="H723" s="62"/>
      <c r="I723" s="62"/>
    </row>
    <row r="724" spans="1:35" s="55" customFormat="1" ht="29.25" hidden="1" x14ac:dyDescent="0.25">
      <c r="A724" s="131">
        <v>1</v>
      </c>
      <c r="B724" s="131" t="s">
        <v>239</v>
      </c>
      <c r="C724" s="376" t="s">
        <v>299</v>
      </c>
      <c r="D724" s="21" t="s">
        <v>198</v>
      </c>
      <c r="E724" s="13"/>
      <c r="F724" s="29">
        <f>F713+F715</f>
        <v>1400</v>
      </c>
      <c r="G724" s="62"/>
      <c r="H724" s="62"/>
      <c r="I724" s="62"/>
    </row>
    <row r="725" spans="1:35" s="55" customFormat="1" hidden="1" x14ac:dyDescent="0.25">
      <c r="A725" s="131">
        <v>1</v>
      </c>
      <c r="B725" s="131" t="s">
        <v>239</v>
      </c>
      <c r="C725" s="376" t="s">
        <v>299</v>
      </c>
      <c r="D725" s="22" t="s">
        <v>112</v>
      </c>
      <c r="E725" s="13"/>
      <c r="F725" s="29">
        <f>F721+F722+F724+F681*2.6+F712/4.2+F720*2.6</f>
        <v>115568.47619047618</v>
      </c>
      <c r="G725" s="62"/>
      <c r="H725" s="62"/>
      <c r="I725" s="62"/>
    </row>
    <row r="726" spans="1:35" ht="15.75" hidden="1" x14ac:dyDescent="0.25">
      <c r="A726" s="131">
        <v>1</v>
      </c>
      <c r="B726" s="131" t="s">
        <v>239</v>
      </c>
      <c r="C726" s="376" t="s">
        <v>299</v>
      </c>
      <c r="D726" s="23" t="s">
        <v>7</v>
      </c>
      <c r="E726" s="660"/>
      <c r="F726" s="2"/>
      <c r="G726" s="2"/>
      <c r="H726" s="2"/>
      <c r="I726" s="2"/>
      <c r="J726" s="145"/>
      <c r="K726" s="145"/>
      <c r="L726" s="145"/>
      <c r="M726" s="145"/>
      <c r="N726" s="145"/>
      <c r="O726" s="145"/>
      <c r="P726" s="145"/>
      <c r="Q726" s="145"/>
      <c r="R726" s="145"/>
      <c r="S726" s="145"/>
      <c r="T726" s="145"/>
      <c r="U726" s="145"/>
      <c r="V726" s="145"/>
      <c r="W726" s="145"/>
      <c r="X726" s="145"/>
      <c r="Y726" s="145"/>
      <c r="Z726" s="145"/>
      <c r="AA726" s="145"/>
      <c r="AB726" s="145"/>
      <c r="AC726" s="145"/>
      <c r="AD726" s="145"/>
      <c r="AE726" s="145"/>
      <c r="AF726" s="145"/>
      <c r="AG726" s="145"/>
      <c r="AH726" s="145"/>
      <c r="AI726" s="145"/>
    </row>
    <row r="727" spans="1:35" hidden="1" x14ac:dyDescent="0.25">
      <c r="A727" s="131">
        <v>1</v>
      </c>
      <c r="B727" s="131" t="s">
        <v>239</v>
      </c>
      <c r="C727" s="376" t="s">
        <v>299</v>
      </c>
      <c r="D727" s="40" t="s">
        <v>93</v>
      </c>
      <c r="E727" s="660"/>
      <c r="F727" s="2"/>
      <c r="G727" s="2"/>
      <c r="H727" s="2"/>
      <c r="I727" s="2"/>
      <c r="J727" s="145"/>
      <c r="K727" s="145"/>
      <c r="L727" s="145"/>
      <c r="M727" s="145"/>
      <c r="N727" s="145"/>
      <c r="O727" s="145"/>
      <c r="P727" s="145"/>
      <c r="Q727" s="145"/>
      <c r="R727" s="145"/>
      <c r="S727" s="145"/>
      <c r="T727" s="145"/>
      <c r="U727" s="145"/>
      <c r="V727" s="145"/>
      <c r="W727" s="145"/>
      <c r="X727" s="145"/>
      <c r="Y727" s="145"/>
      <c r="Z727" s="145"/>
      <c r="AA727" s="145"/>
      <c r="AB727" s="145"/>
      <c r="AC727" s="145"/>
      <c r="AD727" s="145"/>
      <c r="AE727" s="145"/>
      <c r="AF727" s="145"/>
      <c r="AG727" s="145"/>
      <c r="AH727" s="145"/>
      <c r="AI727" s="145"/>
    </row>
    <row r="728" spans="1:35" hidden="1" x14ac:dyDescent="0.25">
      <c r="A728" s="131">
        <v>1</v>
      </c>
      <c r="B728" s="131" t="s">
        <v>239</v>
      </c>
      <c r="C728" s="376" t="s">
        <v>299</v>
      </c>
      <c r="D728" s="1" t="s">
        <v>21</v>
      </c>
      <c r="E728" s="45">
        <v>300</v>
      </c>
      <c r="F728" s="54">
        <v>135</v>
      </c>
      <c r="G728" s="47">
        <v>6.1</v>
      </c>
      <c r="H728" s="88">
        <f>ROUND(I728/E728,0)</f>
        <v>3</v>
      </c>
      <c r="I728" s="88">
        <f>ROUND(F728*G728,0)</f>
        <v>824</v>
      </c>
      <c r="J728" s="145"/>
      <c r="K728" s="145"/>
      <c r="L728" s="145"/>
      <c r="M728" s="145"/>
      <c r="N728" s="145"/>
      <c r="O728" s="145"/>
      <c r="P728" s="145"/>
      <c r="Q728" s="145"/>
      <c r="R728" s="145"/>
      <c r="S728" s="145"/>
      <c r="T728" s="145"/>
      <c r="U728" s="145"/>
      <c r="V728" s="145"/>
      <c r="W728" s="145"/>
      <c r="X728" s="145"/>
      <c r="Y728" s="145"/>
      <c r="Z728" s="145"/>
      <c r="AA728" s="145"/>
      <c r="AB728" s="145"/>
      <c r="AC728" s="145"/>
      <c r="AD728" s="145"/>
      <c r="AE728" s="145"/>
      <c r="AF728" s="145"/>
      <c r="AG728" s="145"/>
      <c r="AH728" s="145"/>
      <c r="AI728" s="145"/>
    </row>
    <row r="729" spans="1:35" hidden="1" x14ac:dyDescent="0.25">
      <c r="A729" s="131">
        <v>1</v>
      </c>
      <c r="B729" s="131" t="s">
        <v>239</v>
      </c>
      <c r="C729" s="376" t="s">
        <v>299</v>
      </c>
      <c r="D729" s="1" t="s">
        <v>19</v>
      </c>
      <c r="E729" s="45">
        <v>300</v>
      </c>
      <c r="F729" s="54">
        <v>260</v>
      </c>
      <c r="G729" s="47">
        <v>10.5</v>
      </c>
      <c r="H729" s="88">
        <f>ROUND(I729/E729,0)</f>
        <v>9</v>
      </c>
      <c r="I729" s="88">
        <f>ROUND(F729*G729,0)</f>
        <v>2730</v>
      </c>
      <c r="J729" s="145"/>
      <c r="K729" s="145"/>
      <c r="L729" s="145"/>
      <c r="M729" s="145"/>
      <c r="N729" s="145"/>
      <c r="O729" s="145"/>
      <c r="P729" s="145"/>
      <c r="Q729" s="145"/>
      <c r="R729" s="145"/>
      <c r="S729" s="145"/>
      <c r="T729" s="145"/>
      <c r="U729" s="145"/>
      <c r="V729" s="145"/>
      <c r="W729" s="145"/>
      <c r="X729" s="145"/>
      <c r="Y729" s="145"/>
      <c r="Z729" s="145"/>
      <c r="AA729" s="145"/>
      <c r="AB729" s="145"/>
      <c r="AC729" s="145"/>
      <c r="AD729" s="145"/>
      <c r="AE729" s="145"/>
      <c r="AF729" s="145"/>
      <c r="AG729" s="145"/>
      <c r="AH729" s="145"/>
      <c r="AI729" s="145"/>
    </row>
    <row r="730" spans="1:35" hidden="1" x14ac:dyDescent="0.25">
      <c r="A730" s="131">
        <v>1</v>
      </c>
      <c r="B730" s="131" t="s">
        <v>239</v>
      </c>
      <c r="C730" s="376" t="s">
        <v>299</v>
      </c>
      <c r="D730" s="46" t="s">
        <v>10</v>
      </c>
      <c r="E730" s="45">
        <v>300</v>
      </c>
      <c r="F730" s="54">
        <v>316</v>
      </c>
      <c r="G730" s="47">
        <v>10</v>
      </c>
      <c r="H730" s="88">
        <f>ROUND(I730/E730,0)</f>
        <v>11</v>
      </c>
      <c r="I730" s="88">
        <f>ROUND(F730*G730,0)</f>
        <v>3160</v>
      </c>
      <c r="J730" s="145"/>
      <c r="K730" s="145"/>
      <c r="L730" s="145"/>
      <c r="M730" s="145"/>
      <c r="N730" s="145"/>
      <c r="O730" s="145"/>
      <c r="P730" s="145"/>
      <c r="Q730" s="145"/>
      <c r="R730" s="145"/>
      <c r="S730" s="145"/>
      <c r="T730" s="145"/>
      <c r="U730" s="145"/>
      <c r="V730" s="145"/>
      <c r="W730" s="145"/>
      <c r="X730" s="145"/>
      <c r="Y730" s="145"/>
      <c r="Z730" s="145"/>
      <c r="AA730" s="145"/>
      <c r="AB730" s="145"/>
      <c r="AC730" s="145"/>
      <c r="AD730" s="145"/>
      <c r="AE730" s="145"/>
      <c r="AF730" s="145"/>
      <c r="AG730" s="145"/>
      <c r="AH730" s="145"/>
      <c r="AI730" s="145"/>
    </row>
    <row r="731" spans="1:35" hidden="1" x14ac:dyDescent="0.25">
      <c r="A731" s="131">
        <v>1</v>
      </c>
      <c r="B731" s="131" t="s">
        <v>239</v>
      </c>
      <c r="C731" s="376" t="s">
        <v>299</v>
      </c>
      <c r="D731" s="30" t="s">
        <v>9</v>
      </c>
      <c r="E731" s="89"/>
      <c r="F731" s="90">
        <f>SUM(F728:F730)</f>
        <v>711</v>
      </c>
      <c r="G731" s="158">
        <f>I731/F731</f>
        <v>9.4430379746835449</v>
      </c>
      <c r="H731" s="91">
        <f>H728+H729+H730</f>
        <v>23</v>
      </c>
      <c r="I731" s="91">
        <f>I728+I729+I730</f>
        <v>6714</v>
      </c>
      <c r="J731" s="145"/>
      <c r="K731" s="145"/>
      <c r="L731" s="145"/>
      <c r="M731" s="145"/>
      <c r="N731" s="145"/>
      <c r="O731" s="145"/>
      <c r="P731" s="145"/>
      <c r="Q731" s="145"/>
      <c r="R731" s="145"/>
      <c r="S731" s="145"/>
      <c r="T731" s="145"/>
      <c r="U731" s="145"/>
      <c r="V731" s="145"/>
      <c r="W731" s="145"/>
      <c r="X731" s="145"/>
      <c r="Y731" s="145"/>
      <c r="Z731" s="145"/>
      <c r="AA731" s="145"/>
      <c r="AB731" s="145"/>
      <c r="AC731" s="145"/>
      <c r="AD731" s="145"/>
      <c r="AE731" s="145"/>
      <c r="AF731" s="145"/>
      <c r="AG731" s="145"/>
      <c r="AH731" s="145"/>
      <c r="AI731" s="145"/>
    </row>
    <row r="732" spans="1:35" hidden="1" x14ac:dyDescent="0.25">
      <c r="A732" s="131">
        <v>1</v>
      </c>
      <c r="B732" s="131" t="s">
        <v>239</v>
      </c>
      <c r="C732" s="376" t="s">
        <v>299</v>
      </c>
      <c r="D732" s="40" t="s">
        <v>18</v>
      </c>
      <c r="E732" s="89"/>
      <c r="F732" s="666"/>
      <c r="G732" s="92"/>
      <c r="H732" s="667"/>
      <c r="I732" s="667"/>
      <c r="J732" s="145"/>
      <c r="K732" s="145"/>
      <c r="L732" s="145"/>
      <c r="M732" s="145"/>
      <c r="N732" s="145"/>
      <c r="O732" s="145"/>
      <c r="P732" s="145"/>
      <c r="Q732" s="145"/>
      <c r="R732" s="145"/>
      <c r="S732" s="145"/>
      <c r="T732" s="145"/>
      <c r="U732" s="145"/>
      <c r="V732" s="145"/>
      <c r="W732" s="145"/>
      <c r="X732" s="145"/>
      <c r="Y732" s="145"/>
      <c r="Z732" s="145"/>
      <c r="AA732" s="145"/>
      <c r="AB732" s="145"/>
      <c r="AC732" s="145"/>
      <c r="AD732" s="145"/>
      <c r="AE732" s="145"/>
      <c r="AF732" s="145"/>
      <c r="AG732" s="145"/>
      <c r="AH732" s="145"/>
      <c r="AI732" s="145"/>
    </row>
    <row r="733" spans="1:35" hidden="1" x14ac:dyDescent="0.25">
      <c r="A733" s="131">
        <v>1</v>
      </c>
      <c r="B733" s="131" t="s">
        <v>239</v>
      </c>
      <c r="C733" s="376" t="s">
        <v>299</v>
      </c>
      <c r="D733" s="1" t="s">
        <v>35</v>
      </c>
      <c r="E733" s="660">
        <v>240</v>
      </c>
      <c r="F733" s="2">
        <v>760</v>
      </c>
      <c r="G733" s="337">
        <v>8</v>
      </c>
      <c r="H733" s="2">
        <f>ROUND(I733/E733,0)</f>
        <v>25</v>
      </c>
      <c r="I733" s="2">
        <f>ROUND(F733*G733,0)</f>
        <v>6080</v>
      </c>
      <c r="J733" s="145"/>
      <c r="K733" s="145"/>
      <c r="L733" s="145"/>
      <c r="M733" s="145"/>
      <c r="N733" s="145"/>
      <c r="O733" s="145"/>
      <c r="P733" s="145"/>
      <c r="Q733" s="145"/>
      <c r="R733" s="145"/>
      <c r="S733" s="145"/>
      <c r="T733" s="145"/>
      <c r="U733" s="145"/>
      <c r="V733" s="145"/>
      <c r="W733" s="145"/>
      <c r="X733" s="145"/>
      <c r="Y733" s="145"/>
      <c r="Z733" s="145"/>
      <c r="AA733" s="145"/>
      <c r="AB733" s="145"/>
      <c r="AC733" s="145"/>
      <c r="AD733" s="145"/>
      <c r="AE733" s="145"/>
      <c r="AF733" s="145"/>
      <c r="AG733" s="145"/>
      <c r="AH733" s="145"/>
      <c r="AI733" s="145"/>
    </row>
    <row r="734" spans="1:35" hidden="1" x14ac:dyDescent="0.25">
      <c r="A734" s="131">
        <v>1</v>
      </c>
      <c r="B734" s="131" t="s">
        <v>239</v>
      </c>
      <c r="C734" s="376" t="s">
        <v>299</v>
      </c>
      <c r="D734" s="644" t="s">
        <v>94</v>
      </c>
      <c r="E734" s="662"/>
      <c r="F734" s="31">
        <f>F733</f>
        <v>760</v>
      </c>
      <c r="G734" s="392">
        <f>I734/F734</f>
        <v>8</v>
      </c>
      <c r="H734" s="31">
        <f>SUM(H733:H733)</f>
        <v>25</v>
      </c>
      <c r="I734" s="31">
        <f>SUM(I733:I733)</f>
        <v>6080</v>
      </c>
      <c r="J734" s="145"/>
      <c r="K734" s="145"/>
      <c r="L734" s="145"/>
      <c r="M734" s="145"/>
      <c r="N734" s="145"/>
      <c r="O734" s="145"/>
      <c r="P734" s="145"/>
      <c r="Q734" s="145"/>
      <c r="R734" s="145"/>
      <c r="S734" s="145"/>
      <c r="T734" s="145"/>
      <c r="U734" s="145"/>
      <c r="V734" s="145"/>
      <c r="W734" s="145"/>
      <c r="X734" s="145"/>
      <c r="Y734" s="145"/>
      <c r="Z734" s="145"/>
      <c r="AA734" s="145"/>
      <c r="AB734" s="145"/>
      <c r="AC734" s="145"/>
      <c r="AD734" s="145"/>
      <c r="AE734" s="145"/>
      <c r="AF734" s="145"/>
      <c r="AG734" s="145"/>
      <c r="AH734" s="145"/>
      <c r="AI734" s="145"/>
    </row>
    <row r="735" spans="1:35" hidden="1" x14ac:dyDescent="0.25">
      <c r="A735" s="131">
        <v>1</v>
      </c>
      <c r="B735" s="131" t="s">
        <v>239</v>
      </c>
      <c r="C735" s="376" t="s">
        <v>299</v>
      </c>
      <c r="D735" s="26" t="s">
        <v>88</v>
      </c>
      <c r="E735" s="157"/>
      <c r="F735" s="29">
        <f>SUM(F734,F731)</f>
        <v>1471</v>
      </c>
      <c r="G735" s="158">
        <f>I735/F735</f>
        <v>8.6974847042828003</v>
      </c>
      <c r="H735" s="29">
        <f>H731+H734</f>
        <v>48</v>
      </c>
      <c r="I735" s="29">
        <f>I731+I734</f>
        <v>12794</v>
      </c>
    </row>
    <row r="736" spans="1:35" s="145" customFormat="1" ht="15.75" hidden="1" thickBot="1" x14ac:dyDescent="0.3">
      <c r="A736" s="131">
        <v>1</v>
      </c>
      <c r="B736" s="131" t="s">
        <v>239</v>
      </c>
      <c r="C736" s="376" t="s">
        <v>299</v>
      </c>
      <c r="D736" s="668" t="s">
        <v>213</v>
      </c>
      <c r="E736" s="669"/>
      <c r="F736" s="669"/>
      <c r="G736" s="669"/>
      <c r="H736" s="669"/>
      <c r="I736" s="669"/>
    </row>
    <row r="737" spans="1:9" s="145" customFormat="1" hidden="1" x14ac:dyDescent="0.25">
      <c r="A737" s="131">
        <v>1</v>
      </c>
      <c r="B737" s="131"/>
      <c r="C737" s="376" t="s">
        <v>299</v>
      </c>
      <c r="D737" s="670"/>
      <c r="E737" s="665"/>
      <c r="F737" s="494"/>
      <c r="G737" s="494"/>
      <c r="H737" s="494"/>
      <c r="I737" s="494"/>
    </row>
    <row r="738" spans="1:9" s="145" customFormat="1" ht="31.5" hidden="1" x14ac:dyDescent="0.25">
      <c r="A738" s="131">
        <v>1</v>
      </c>
      <c r="B738" s="136" t="s">
        <v>240</v>
      </c>
      <c r="C738" s="376" t="s">
        <v>299</v>
      </c>
      <c r="D738" s="763" t="s">
        <v>377</v>
      </c>
      <c r="E738" s="199"/>
      <c r="F738" s="2"/>
      <c r="G738" s="2"/>
      <c r="H738" s="2"/>
      <c r="I738" s="2"/>
    </row>
    <row r="739" spans="1:9" s="145" customFormat="1" hidden="1" x14ac:dyDescent="0.25">
      <c r="A739" s="131">
        <v>1</v>
      </c>
      <c r="B739" s="136" t="s">
        <v>240</v>
      </c>
      <c r="C739" s="376" t="s">
        <v>299</v>
      </c>
      <c r="D739" s="137" t="s">
        <v>4</v>
      </c>
      <c r="E739" s="199"/>
      <c r="F739" s="2"/>
      <c r="G739" s="2"/>
      <c r="H739" s="2"/>
      <c r="I739" s="2"/>
    </row>
    <row r="740" spans="1:9" s="145" customFormat="1" hidden="1" x14ac:dyDescent="0.25">
      <c r="A740" s="131">
        <v>1</v>
      </c>
      <c r="B740" s="136" t="s">
        <v>240</v>
      </c>
      <c r="C740" s="376" t="s">
        <v>299</v>
      </c>
      <c r="D740" s="141" t="s">
        <v>35</v>
      </c>
      <c r="E740" s="336">
        <v>340</v>
      </c>
      <c r="F740" s="2"/>
      <c r="G740" s="337">
        <v>11.6</v>
      </c>
      <c r="H740" s="2">
        <f>ROUND(I740/E740,0)</f>
        <v>0</v>
      </c>
      <c r="I740" s="2">
        <f>ROUND(F740*G740,0)</f>
        <v>0</v>
      </c>
    </row>
    <row r="741" spans="1:9" s="145" customFormat="1" hidden="1" x14ac:dyDescent="0.25">
      <c r="A741" s="131">
        <v>1</v>
      </c>
      <c r="B741" s="136" t="s">
        <v>240</v>
      </c>
      <c r="C741" s="376" t="s">
        <v>299</v>
      </c>
      <c r="D741" s="390" t="s">
        <v>5</v>
      </c>
      <c r="E741" s="199"/>
      <c r="F741" s="29">
        <f>SUM(F740)</f>
        <v>0</v>
      </c>
      <c r="G741" s="158" t="e">
        <f>I741/F741</f>
        <v>#DIV/0!</v>
      </c>
      <c r="H741" s="29">
        <f>H740</f>
        <v>0</v>
      </c>
      <c r="I741" s="29">
        <f>I740</f>
        <v>0</v>
      </c>
    </row>
    <row r="742" spans="1:9" s="55" customFormat="1" hidden="1" x14ac:dyDescent="0.25">
      <c r="A742" s="131">
        <v>1</v>
      </c>
      <c r="B742" s="136" t="s">
        <v>240</v>
      </c>
      <c r="C742" s="376" t="s">
        <v>299</v>
      </c>
      <c r="D742" s="12" t="s">
        <v>250</v>
      </c>
      <c r="E742" s="12"/>
      <c r="F742" s="77"/>
      <c r="G742" s="54"/>
      <c r="H742" s="54"/>
      <c r="I742" s="54"/>
    </row>
    <row r="743" spans="1:9" s="55" customFormat="1" hidden="1" x14ac:dyDescent="0.25">
      <c r="A743" s="131"/>
      <c r="B743" s="136" t="s">
        <v>240</v>
      </c>
      <c r="C743" s="376" t="s">
        <v>299</v>
      </c>
      <c r="D743" s="14" t="s">
        <v>192</v>
      </c>
      <c r="E743" s="12"/>
      <c r="F743" s="77">
        <f>F745+F747+F746+F748</f>
        <v>10349</v>
      </c>
      <c r="G743" s="54"/>
      <c r="H743" s="54"/>
      <c r="I743" s="54"/>
    </row>
    <row r="744" spans="1:9" s="55" customFormat="1" hidden="1" x14ac:dyDescent="0.25">
      <c r="A744" s="131"/>
      <c r="B744" s="136" t="s">
        <v>240</v>
      </c>
      <c r="C744" s="376" t="s">
        <v>299</v>
      </c>
      <c r="D744" s="18" t="s">
        <v>116</v>
      </c>
      <c r="E744" s="12"/>
      <c r="F744" s="77"/>
      <c r="G744" s="54"/>
      <c r="H744" s="54"/>
      <c r="I744" s="54"/>
    </row>
    <row r="745" spans="1:9" s="55" customFormat="1" ht="30" hidden="1" x14ac:dyDescent="0.25">
      <c r="A745" s="131"/>
      <c r="B745" s="136" t="s">
        <v>240</v>
      </c>
      <c r="C745" s="376" t="s">
        <v>299</v>
      </c>
      <c r="D745" s="15" t="s">
        <v>397</v>
      </c>
      <c r="E745" s="12"/>
      <c r="F745" s="77">
        <v>4249</v>
      </c>
      <c r="G745" s="54"/>
      <c r="H745" s="54"/>
      <c r="I745" s="54"/>
    </row>
    <row r="746" spans="1:9" s="55" customFormat="1" ht="45" hidden="1" x14ac:dyDescent="0.25">
      <c r="A746" s="131"/>
      <c r="B746" s="136" t="s">
        <v>240</v>
      </c>
      <c r="C746" s="376" t="s">
        <v>299</v>
      </c>
      <c r="D746" s="15" t="s">
        <v>398</v>
      </c>
      <c r="E746" s="12"/>
      <c r="F746" s="62">
        <v>2100</v>
      </c>
      <c r="G746" s="54"/>
      <c r="H746" s="54"/>
      <c r="I746" s="54"/>
    </row>
    <row r="747" spans="1:9" s="55" customFormat="1" ht="45" hidden="1" x14ac:dyDescent="0.25">
      <c r="A747" s="131"/>
      <c r="B747" s="136" t="s">
        <v>240</v>
      </c>
      <c r="C747" s="376" t="s">
        <v>299</v>
      </c>
      <c r="D747" s="15" t="s">
        <v>399</v>
      </c>
      <c r="E747" s="12"/>
      <c r="F747" s="62">
        <v>3000</v>
      </c>
      <c r="G747" s="54"/>
      <c r="H747" s="54"/>
      <c r="I747" s="54"/>
    </row>
    <row r="748" spans="1:9" s="55" customFormat="1" ht="75" hidden="1" x14ac:dyDescent="0.25">
      <c r="A748" s="131"/>
      <c r="B748" s="136"/>
      <c r="C748" s="376" t="s">
        <v>299</v>
      </c>
      <c r="D748" s="15" t="s">
        <v>400</v>
      </c>
      <c r="E748" s="12"/>
      <c r="F748" s="62">
        <v>1000</v>
      </c>
      <c r="G748" s="54"/>
      <c r="H748" s="54"/>
      <c r="I748" s="54"/>
    </row>
    <row r="749" spans="1:9" s="55" customFormat="1" hidden="1" x14ac:dyDescent="0.25">
      <c r="A749" s="131"/>
      <c r="B749" s="136" t="s">
        <v>240</v>
      </c>
      <c r="C749" s="376" t="s">
        <v>299</v>
      </c>
      <c r="D749" s="57" t="s">
        <v>90</v>
      </c>
      <c r="E749" s="12"/>
      <c r="F749" s="77">
        <f>F750+F751+F752</f>
        <v>9543</v>
      </c>
      <c r="G749" s="54"/>
      <c r="H749" s="54"/>
      <c r="I749" s="54"/>
    </row>
    <row r="750" spans="1:9" s="55" customFormat="1" hidden="1" x14ac:dyDescent="0.25">
      <c r="A750" s="131"/>
      <c r="B750" s="136" t="s">
        <v>240</v>
      </c>
      <c r="C750" s="376" t="s">
        <v>299</v>
      </c>
      <c r="D750" s="15" t="s">
        <v>145</v>
      </c>
      <c r="E750" s="12"/>
      <c r="F750" s="62">
        <v>8947</v>
      </c>
      <c r="G750" s="54"/>
      <c r="H750" s="54"/>
      <c r="I750" s="54"/>
    </row>
    <row r="751" spans="1:9" s="55" customFormat="1" ht="45" hidden="1" x14ac:dyDescent="0.25">
      <c r="A751" s="131"/>
      <c r="B751" s="136"/>
      <c r="C751" s="376"/>
      <c r="D751" s="15" t="s">
        <v>414</v>
      </c>
      <c r="E751" s="12"/>
      <c r="F751" s="62">
        <v>111</v>
      </c>
      <c r="G751" s="54"/>
      <c r="H751" s="54"/>
      <c r="I751" s="54"/>
    </row>
    <row r="752" spans="1:9" s="55" customFormat="1" ht="60" hidden="1" x14ac:dyDescent="0.25">
      <c r="A752" s="131"/>
      <c r="B752" s="136"/>
      <c r="C752" s="376"/>
      <c r="D752" s="15" t="s">
        <v>421</v>
      </c>
      <c r="E752" s="12"/>
      <c r="F752" s="62">
        <v>485</v>
      </c>
      <c r="G752" s="54"/>
      <c r="H752" s="54"/>
      <c r="I752" s="54"/>
    </row>
    <row r="753" spans="1:9" s="55" customFormat="1" hidden="1" x14ac:dyDescent="0.25">
      <c r="A753" s="131"/>
      <c r="B753" s="136"/>
      <c r="C753" s="376"/>
      <c r="D753" s="33" t="s">
        <v>98</v>
      </c>
      <c r="E753" s="12"/>
      <c r="F753" s="62"/>
      <c r="G753" s="54"/>
      <c r="H753" s="54"/>
      <c r="I753" s="54"/>
    </row>
    <row r="754" spans="1:9" s="55" customFormat="1" ht="75" hidden="1" x14ac:dyDescent="0.25">
      <c r="A754" s="131"/>
      <c r="B754" s="136"/>
      <c r="C754" s="376"/>
      <c r="D754" s="15" t="s">
        <v>420</v>
      </c>
      <c r="E754" s="12"/>
      <c r="F754" s="62">
        <v>2425</v>
      </c>
      <c r="G754" s="54"/>
      <c r="H754" s="54"/>
      <c r="I754" s="54"/>
    </row>
    <row r="755" spans="1:9" s="55" customFormat="1" ht="47.25" hidden="1" x14ac:dyDescent="0.25">
      <c r="A755" s="131"/>
      <c r="B755" s="136" t="s">
        <v>240</v>
      </c>
      <c r="C755" s="376" t="s">
        <v>299</v>
      </c>
      <c r="D755" s="58" t="s">
        <v>333</v>
      </c>
      <c r="E755" s="12"/>
      <c r="F755" s="62">
        <f>F756+F763-F760</f>
        <v>4524</v>
      </c>
      <c r="G755" s="54"/>
      <c r="H755" s="54"/>
      <c r="I755" s="54"/>
    </row>
    <row r="756" spans="1:9" s="55" customFormat="1" ht="30" hidden="1" x14ac:dyDescent="0.25">
      <c r="A756" s="131"/>
      <c r="B756" s="136" t="s">
        <v>240</v>
      </c>
      <c r="C756" s="376" t="s">
        <v>299</v>
      </c>
      <c r="D756" s="16" t="s">
        <v>193</v>
      </c>
      <c r="E756" s="12"/>
      <c r="F756" s="77">
        <f>SUM(F757:F762)-F760</f>
        <v>3243</v>
      </c>
      <c r="G756" s="54"/>
      <c r="H756" s="54"/>
      <c r="I756" s="54"/>
    </row>
    <row r="757" spans="1:9" s="55" customFormat="1" ht="30" hidden="1" x14ac:dyDescent="0.25">
      <c r="A757" s="131"/>
      <c r="B757" s="136" t="s">
        <v>240</v>
      </c>
      <c r="C757" s="376" t="s">
        <v>299</v>
      </c>
      <c r="D757" s="15" t="s">
        <v>334</v>
      </c>
      <c r="E757" s="12"/>
      <c r="F757" s="62">
        <v>2588</v>
      </c>
      <c r="G757" s="54"/>
      <c r="H757" s="54"/>
      <c r="I757" s="54"/>
    </row>
    <row r="758" spans="1:9" s="55" customFormat="1" ht="45" hidden="1" x14ac:dyDescent="0.25">
      <c r="A758" s="131"/>
      <c r="B758" s="136" t="s">
        <v>240</v>
      </c>
      <c r="C758" s="376" t="s">
        <v>299</v>
      </c>
      <c r="D758" s="15" t="s">
        <v>402</v>
      </c>
      <c r="E758" s="12"/>
      <c r="F758" s="62"/>
      <c r="G758" s="54"/>
      <c r="H758" s="54"/>
      <c r="I758" s="54"/>
    </row>
    <row r="759" spans="1:9" s="55" customFormat="1" ht="30" hidden="1" x14ac:dyDescent="0.25">
      <c r="A759" s="131"/>
      <c r="B759" s="136"/>
      <c r="C759" s="376"/>
      <c r="D759" s="15" t="s">
        <v>380</v>
      </c>
      <c r="E759" s="12"/>
      <c r="F759" s="62">
        <v>655</v>
      </c>
      <c r="G759" s="54"/>
      <c r="H759" s="54"/>
      <c r="I759" s="54"/>
    </row>
    <row r="760" spans="1:9" s="55" customFormat="1" ht="30" hidden="1" x14ac:dyDescent="0.25">
      <c r="A760" s="131"/>
      <c r="B760" s="136"/>
      <c r="C760" s="376"/>
      <c r="D760" s="15" t="s">
        <v>381</v>
      </c>
      <c r="E760" s="12"/>
      <c r="F760" s="62"/>
      <c r="G760" s="54"/>
      <c r="H760" s="54"/>
      <c r="I760" s="54"/>
    </row>
    <row r="761" spans="1:9" s="55" customFormat="1" ht="30" hidden="1" x14ac:dyDescent="0.25">
      <c r="A761" s="131"/>
      <c r="B761" s="136" t="s">
        <v>240</v>
      </c>
      <c r="C761" s="376" t="s">
        <v>299</v>
      </c>
      <c r="D761" s="15" t="s">
        <v>382</v>
      </c>
      <c r="E761" s="12"/>
      <c r="F761" s="62"/>
      <c r="G761" s="54"/>
      <c r="H761" s="54"/>
      <c r="I761" s="54"/>
    </row>
    <row r="762" spans="1:9" s="55" customFormat="1" ht="30" hidden="1" x14ac:dyDescent="0.25">
      <c r="A762" s="131"/>
      <c r="B762" s="136" t="s">
        <v>240</v>
      </c>
      <c r="C762" s="376" t="s">
        <v>299</v>
      </c>
      <c r="D762" s="15" t="s">
        <v>383</v>
      </c>
      <c r="E762" s="12"/>
      <c r="F762" s="62"/>
      <c r="G762" s="54"/>
      <c r="H762" s="54"/>
      <c r="I762" s="54"/>
    </row>
    <row r="763" spans="1:9" s="55" customFormat="1" ht="30" hidden="1" x14ac:dyDescent="0.25">
      <c r="A763" s="131"/>
      <c r="B763" s="136" t="s">
        <v>240</v>
      </c>
      <c r="C763" s="376" t="s">
        <v>299</v>
      </c>
      <c r="D763" s="16" t="s">
        <v>194</v>
      </c>
      <c r="E763" s="12"/>
      <c r="F763" s="77">
        <f>SUM(F764:F766)</f>
        <v>1281</v>
      </c>
      <c r="G763" s="54"/>
      <c r="H763" s="54"/>
      <c r="I763" s="54"/>
    </row>
    <row r="764" spans="1:9" s="55" customFormat="1" ht="30" hidden="1" x14ac:dyDescent="0.25">
      <c r="A764" s="131">
        <v>1</v>
      </c>
      <c r="B764" s="136" t="s">
        <v>240</v>
      </c>
      <c r="C764" s="376" t="s">
        <v>299</v>
      </c>
      <c r="D764" s="15" t="s">
        <v>384</v>
      </c>
      <c r="E764" s="59"/>
      <c r="F764" s="54">
        <v>681</v>
      </c>
      <c r="G764" s="54"/>
      <c r="H764" s="54"/>
      <c r="I764" s="54"/>
    </row>
    <row r="765" spans="1:9" s="55" customFormat="1" ht="45" hidden="1" x14ac:dyDescent="0.25">
      <c r="A765" s="131">
        <v>1</v>
      </c>
      <c r="B765" s="136" t="s">
        <v>240</v>
      </c>
      <c r="C765" s="376" t="s">
        <v>299</v>
      </c>
      <c r="D765" s="15" t="s">
        <v>385</v>
      </c>
      <c r="E765" s="24"/>
      <c r="F765" s="2">
        <v>400</v>
      </c>
      <c r="G765" s="24"/>
      <c r="H765" s="24"/>
      <c r="I765" s="24"/>
    </row>
    <row r="766" spans="1:9" s="55" customFormat="1" ht="45" hidden="1" x14ac:dyDescent="0.25">
      <c r="A766" s="131">
        <v>1</v>
      </c>
      <c r="B766" s="136" t="s">
        <v>240</v>
      </c>
      <c r="C766" s="376" t="s">
        <v>299</v>
      </c>
      <c r="D766" s="15" t="s">
        <v>386</v>
      </c>
      <c r="E766" s="59"/>
      <c r="F766" s="54">
        <v>200</v>
      </c>
      <c r="G766" s="54"/>
      <c r="H766" s="54"/>
      <c r="I766" s="54"/>
    </row>
    <row r="767" spans="1:9" s="55" customFormat="1" ht="21" hidden="1" customHeight="1" x14ac:dyDescent="0.25">
      <c r="A767" s="131">
        <v>1</v>
      </c>
      <c r="B767" s="136" t="s">
        <v>240</v>
      </c>
      <c r="C767" s="376" t="s">
        <v>299</v>
      </c>
      <c r="D767" s="14" t="s">
        <v>251</v>
      </c>
      <c r="E767" s="59"/>
      <c r="F767" s="29">
        <f>SUM(F768,F769,F773,F774,F775,F776)</f>
        <v>1226</v>
      </c>
      <c r="G767" s="54"/>
      <c r="H767" s="54"/>
      <c r="I767" s="54"/>
    </row>
    <row r="768" spans="1:9" s="55" customFormat="1" hidden="1" x14ac:dyDescent="0.25">
      <c r="A768" s="131">
        <v>1</v>
      </c>
      <c r="B768" s="136" t="s">
        <v>240</v>
      </c>
      <c r="C768" s="376" t="s">
        <v>299</v>
      </c>
      <c r="D768" s="15" t="s">
        <v>252</v>
      </c>
      <c r="E768" s="59"/>
      <c r="F768" s="2"/>
      <c r="G768" s="54"/>
      <c r="H768" s="54"/>
      <c r="I768" s="54"/>
    </row>
    <row r="769" spans="1:9" s="55" customFormat="1" ht="30" hidden="1" x14ac:dyDescent="0.25">
      <c r="A769" s="131">
        <v>1</v>
      </c>
      <c r="B769" s="136" t="s">
        <v>240</v>
      </c>
      <c r="C769" s="376" t="s">
        <v>299</v>
      </c>
      <c r="D769" s="16" t="s">
        <v>388</v>
      </c>
      <c r="E769" s="59"/>
      <c r="F769" s="2">
        <f>F770+F771/4+F772</f>
        <v>100</v>
      </c>
      <c r="G769" s="54"/>
      <c r="H769" s="54"/>
      <c r="I769" s="54"/>
    </row>
    <row r="770" spans="1:9" s="145" customFormat="1" hidden="1" x14ac:dyDescent="0.25">
      <c r="A770" s="131"/>
      <c r="B770" s="136" t="s">
        <v>240</v>
      </c>
      <c r="C770" s="376" t="s">
        <v>299</v>
      </c>
      <c r="D770" s="15" t="s">
        <v>389</v>
      </c>
      <c r="E770" s="13"/>
      <c r="F770" s="17"/>
      <c r="G770" s="10"/>
      <c r="H770" s="10"/>
      <c r="I770" s="10"/>
    </row>
    <row r="771" spans="1:9" s="55" customFormat="1" ht="30" hidden="1" x14ac:dyDescent="0.25">
      <c r="A771" s="131">
        <v>1</v>
      </c>
      <c r="B771" s="136" t="s">
        <v>240</v>
      </c>
      <c r="C771" s="376" t="s">
        <v>299</v>
      </c>
      <c r="D771" s="15" t="s">
        <v>390</v>
      </c>
      <c r="E771" s="59"/>
      <c r="F771" s="10">
        <v>400</v>
      </c>
      <c r="G771" s="54"/>
      <c r="H771" s="54"/>
      <c r="I771" s="54"/>
    </row>
    <row r="772" spans="1:9" s="145" customFormat="1" ht="45" hidden="1" x14ac:dyDescent="0.25">
      <c r="A772" s="131">
        <v>1</v>
      </c>
      <c r="B772" s="136" t="s">
        <v>240</v>
      </c>
      <c r="C772" s="376" t="s">
        <v>299</v>
      </c>
      <c r="D772" s="15" t="s">
        <v>391</v>
      </c>
      <c r="E772" s="13"/>
      <c r="F772" s="2"/>
      <c r="G772" s="2"/>
      <c r="H772" s="2"/>
      <c r="I772" s="2"/>
    </row>
    <row r="773" spans="1:9" s="55" customFormat="1" ht="45" hidden="1" x14ac:dyDescent="0.25">
      <c r="A773" s="131">
        <v>1</v>
      </c>
      <c r="B773" s="136" t="s">
        <v>240</v>
      </c>
      <c r="C773" s="376" t="s">
        <v>299</v>
      </c>
      <c r="D773" s="15" t="s">
        <v>392</v>
      </c>
      <c r="E773" s="277"/>
      <c r="F773" s="2"/>
      <c r="G773" s="54"/>
      <c r="H773" s="54"/>
      <c r="I773" s="54"/>
    </row>
    <row r="774" spans="1:9" s="55" customFormat="1" ht="45" hidden="1" x14ac:dyDescent="0.25">
      <c r="A774" s="131">
        <v>1</v>
      </c>
      <c r="B774" s="136" t="s">
        <v>240</v>
      </c>
      <c r="C774" s="376" t="s">
        <v>299</v>
      </c>
      <c r="D774" s="18" t="s">
        <v>393</v>
      </c>
      <c r="E774" s="61"/>
      <c r="F774" s="54"/>
      <c r="G774" s="62"/>
      <c r="H774" s="62"/>
      <c r="I774" s="62"/>
    </row>
    <row r="775" spans="1:9" s="55" customFormat="1" ht="75" hidden="1" x14ac:dyDescent="0.25">
      <c r="A775" s="51"/>
      <c r="B775" s="136"/>
      <c r="C775" s="376" t="s">
        <v>299</v>
      </c>
      <c r="D775" s="18" t="s">
        <v>394</v>
      </c>
      <c r="E775" s="13"/>
      <c r="F775" s="53">
        <v>350</v>
      </c>
      <c r="G775" s="62"/>
      <c r="H775" s="62"/>
      <c r="I775" s="43"/>
    </row>
    <row r="776" spans="1:9" s="55" customFormat="1" ht="30" hidden="1" x14ac:dyDescent="0.25">
      <c r="A776" s="51"/>
      <c r="B776" s="136"/>
      <c r="C776" s="376"/>
      <c r="D776" s="15" t="s">
        <v>395</v>
      </c>
      <c r="E776" s="13"/>
      <c r="F776" s="53">
        <v>776</v>
      </c>
      <c r="G776" s="62"/>
      <c r="H776" s="62"/>
      <c r="I776" s="43"/>
    </row>
    <row r="777" spans="1:9" s="55" customFormat="1" hidden="1" x14ac:dyDescent="0.25">
      <c r="A777" s="131">
        <v>1</v>
      </c>
      <c r="B777" s="136" t="s">
        <v>240</v>
      </c>
      <c r="C777" s="376" t="s">
        <v>299</v>
      </c>
      <c r="D777" s="14" t="s">
        <v>253</v>
      </c>
      <c r="E777" s="13"/>
      <c r="F777" s="2">
        <f>F778+F779</f>
        <v>1914.8936170212764</v>
      </c>
      <c r="G777" s="62"/>
      <c r="H777" s="62"/>
      <c r="I777" s="62"/>
    </row>
    <row r="778" spans="1:9" s="55" customFormat="1" hidden="1" x14ac:dyDescent="0.25">
      <c r="A778" s="131">
        <v>1</v>
      </c>
      <c r="B778" s="136" t="s">
        <v>240</v>
      </c>
      <c r="C778" s="376" t="s">
        <v>299</v>
      </c>
      <c r="D778" s="14" t="s">
        <v>254</v>
      </c>
      <c r="E778" s="13"/>
      <c r="F778" s="2"/>
      <c r="G778" s="62"/>
      <c r="H778" s="62"/>
      <c r="I778" s="62"/>
    </row>
    <row r="779" spans="1:9" s="55" customFormat="1" hidden="1" x14ac:dyDescent="0.25">
      <c r="A779" s="131">
        <v>1</v>
      </c>
      <c r="B779" s="136" t="s">
        <v>240</v>
      </c>
      <c r="C779" s="376" t="s">
        <v>299</v>
      </c>
      <c r="D779" s="15" t="s">
        <v>255</v>
      </c>
      <c r="E779" s="13"/>
      <c r="F779" s="2">
        <f>F780/9.4</f>
        <v>1914.8936170212764</v>
      </c>
      <c r="G779" s="62"/>
      <c r="H779" s="62"/>
      <c r="I779" s="62"/>
    </row>
    <row r="780" spans="1:9" s="55" customFormat="1" hidden="1" x14ac:dyDescent="0.25">
      <c r="A780" s="131">
        <v>1</v>
      </c>
      <c r="B780" s="136" t="s">
        <v>240</v>
      </c>
      <c r="C780" s="376" t="s">
        <v>299</v>
      </c>
      <c r="D780" s="42" t="s">
        <v>261</v>
      </c>
      <c r="E780" s="13"/>
      <c r="F780" s="2">
        <v>18000</v>
      </c>
      <c r="G780" s="62"/>
      <c r="H780" s="62"/>
      <c r="I780" s="62"/>
    </row>
    <row r="781" spans="1:9" s="55" customFormat="1" ht="29.25" hidden="1" x14ac:dyDescent="0.25">
      <c r="A781" s="131">
        <v>1</v>
      </c>
      <c r="B781" s="136" t="s">
        <v>240</v>
      </c>
      <c r="C781" s="376" t="s">
        <v>299</v>
      </c>
      <c r="D781" s="14" t="s">
        <v>256</v>
      </c>
      <c r="E781" s="13"/>
      <c r="F781" s="54">
        <v>100</v>
      </c>
      <c r="G781" s="62"/>
      <c r="H781" s="62"/>
      <c r="I781" s="62"/>
    </row>
    <row r="782" spans="1:9" s="55" customFormat="1" hidden="1" x14ac:dyDescent="0.25">
      <c r="A782" s="131">
        <v>1</v>
      </c>
      <c r="B782" s="136" t="s">
        <v>240</v>
      </c>
      <c r="C782" s="376" t="s">
        <v>299</v>
      </c>
      <c r="D782" s="19" t="s">
        <v>117</v>
      </c>
      <c r="E782" s="13"/>
      <c r="F782" s="54"/>
      <c r="G782" s="62"/>
      <c r="H782" s="62"/>
      <c r="I782" s="62"/>
    </row>
    <row r="783" spans="1:9" s="55" customFormat="1" ht="57.75" hidden="1" x14ac:dyDescent="0.25">
      <c r="A783" s="131">
        <v>1</v>
      </c>
      <c r="B783" s="136" t="s">
        <v>240</v>
      </c>
      <c r="C783" s="376" t="s">
        <v>299</v>
      </c>
      <c r="D783" s="14" t="s">
        <v>257</v>
      </c>
      <c r="E783" s="13"/>
      <c r="F783" s="54"/>
      <c r="G783" s="62"/>
      <c r="H783" s="62"/>
      <c r="I783" s="62"/>
    </row>
    <row r="784" spans="1:9" s="55" customFormat="1" hidden="1" x14ac:dyDescent="0.25">
      <c r="A784" s="131">
        <v>1</v>
      </c>
      <c r="B784" s="136" t="s">
        <v>240</v>
      </c>
      <c r="C784" s="376" t="s">
        <v>299</v>
      </c>
      <c r="D784" s="20" t="s">
        <v>165</v>
      </c>
      <c r="E784" s="13"/>
      <c r="F784" s="59">
        <f>F785+F786</f>
        <v>500</v>
      </c>
      <c r="G784" s="62"/>
      <c r="H784" s="62"/>
      <c r="I784" s="62"/>
    </row>
    <row r="785" spans="1:9" s="55" customFormat="1" ht="30" hidden="1" x14ac:dyDescent="0.25">
      <c r="A785" s="131">
        <v>1</v>
      </c>
      <c r="B785" s="136" t="s">
        <v>240</v>
      </c>
      <c r="C785" s="376" t="s">
        <v>299</v>
      </c>
      <c r="D785" s="212" t="s">
        <v>200</v>
      </c>
      <c r="E785" s="13"/>
      <c r="F785" s="54">
        <v>300</v>
      </c>
      <c r="G785" s="62"/>
      <c r="H785" s="62"/>
      <c r="I785" s="62"/>
    </row>
    <row r="786" spans="1:9" s="55" customFormat="1" hidden="1" x14ac:dyDescent="0.25">
      <c r="A786" s="131">
        <v>1</v>
      </c>
      <c r="B786" s="136" t="s">
        <v>240</v>
      </c>
      <c r="C786" s="376" t="s">
        <v>299</v>
      </c>
      <c r="D786" s="212" t="s">
        <v>119</v>
      </c>
      <c r="E786" s="13"/>
      <c r="F786" s="71">
        <v>200</v>
      </c>
      <c r="G786" s="62"/>
      <c r="H786" s="62"/>
      <c r="I786" s="62"/>
    </row>
    <row r="787" spans="1:9" s="55" customFormat="1" ht="43.5" hidden="1" x14ac:dyDescent="0.25">
      <c r="A787" s="131"/>
      <c r="B787" s="136"/>
      <c r="C787" s="376"/>
      <c r="D787" s="21" t="s">
        <v>396</v>
      </c>
      <c r="E787" s="13"/>
      <c r="F787" s="86">
        <f>F754</f>
        <v>2425</v>
      </c>
      <c r="G787" s="62"/>
      <c r="H787" s="62"/>
      <c r="I787" s="62"/>
    </row>
    <row r="788" spans="1:9" s="55" customFormat="1" hidden="1" x14ac:dyDescent="0.25">
      <c r="A788" s="131">
        <v>1</v>
      </c>
      <c r="B788" s="136" t="s">
        <v>240</v>
      </c>
      <c r="C788" s="376" t="s">
        <v>299</v>
      </c>
      <c r="D788" s="21" t="s">
        <v>195</v>
      </c>
      <c r="E788" s="13"/>
      <c r="F788" s="29">
        <f>F767+F743</f>
        <v>11575</v>
      </c>
      <c r="G788" s="62"/>
      <c r="H788" s="62"/>
      <c r="I788" s="62"/>
    </row>
    <row r="789" spans="1:9" s="55" customFormat="1" ht="29.25" hidden="1" x14ac:dyDescent="0.25">
      <c r="A789" s="131">
        <v>1</v>
      </c>
      <c r="B789" s="136" t="s">
        <v>240</v>
      </c>
      <c r="C789" s="376" t="s">
        <v>299</v>
      </c>
      <c r="D789" s="21" t="s">
        <v>196</v>
      </c>
      <c r="E789" s="13"/>
      <c r="F789" s="29">
        <f>F755</f>
        <v>4524</v>
      </c>
      <c r="G789" s="62"/>
      <c r="H789" s="62"/>
      <c r="I789" s="62"/>
    </row>
    <row r="790" spans="1:9" s="55" customFormat="1" hidden="1" x14ac:dyDescent="0.25">
      <c r="A790" s="131">
        <v>1</v>
      </c>
      <c r="B790" s="136" t="s">
        <v>240</v>
      </c>
      <c r="C790" s="376" t="s">
        <v>299</v>
      </c>
      <c r="D790" s="21" t="s">
        <v>197</v>
      </c>
      <c r="E790" s="13"/>
      <c r="F790" s="76">
        <f>F777+F749</f>
        <v>11457.893617021276</v>
      </c>
      <c r="G790" s="62"/>
      <c r="H790" s="62"/>
      <c r="I790" s="62"/>
    </row>
    <row r="791" spans="1:9" s="55" customFormat="1" ht="29.25" hidden="1" x14ac:dyDescent="0.25">
      <c r="A791" s="131">
        <v>1</v>
      </c>
      <c r="B791" s="136" t="s">
        <v>240</v>
      </c>
      <c r="C791" s="376" t="s">
        <v>299</v>
      </c>
      <c r="D791" s="21" t="s">
        <v>198</v>
      </c>
      <c r="E791" s="13"/>
      <c r="F791" s="76">
        <f>F781</f>
        <v>100</v>
      </c>
      <c r="G791" s="62"/>
      <c r="H791" s="62"/>
      <c r="I791" s="62"/>
    </row>
    <row r="792" spans="1:9" s="55" customFormat="1" hidden="1" x14ac:dyDescent="0.25">
      <c r="A792" s="131">
        <v>1</v>
      </c>
      <c r="B792" s="136" t="s">
        <v>240</v>
      </c>
      <c r="C792" s="376" t="s">
        <v>299</v>
      </c>
      <c r="D792" s="22" t="s">
        <v>112</v>
      </c>
      <c r="E792" s="13"/>
      <c r="F792" s="76">
        <f>F788+F789+F791+F749*2.6+F780/4.2+F787*2.6</f>
        <v>51601.514285714286</v>
      </c>
      <c r="G792" s="62"/>
      <c r="H792" s="62"/>
      <c r="I792" s="62"/>
    </row>
    <row r="793" spans="1:9" s="145" customFormat="1" hidden="1" x14ac:dyDescent="0.25">
      <c r="A793" s="131">
        <v>1</v>
      </c>
      <c r="B793" s="136" t="s">
        <v>240</v>
      </c>
      <c r="C793" s="376" t="s">
        <v>299</v>
      </c>
      <c r="D793" s="30" t="s">
        <v>7</v>
      </c>
      <c r="E793" s="89"/>
      <c r="F793" s="29"/>
      <c r="G793" s="29"/>
      <c r="H793" s="2"/>
      <c r="I793" s="2"/>
    </row>
    <row r="794" spans="1:9" s="145" customFormat="1" hidden="1" x14ac:dyDescent="0.25">
      <c r="A794" s="131">
        <v>1</v>
      </c>
      <c r="B794" s="136" t="s">
        <v>240</v>
      </c>
      <c r="C794" s="376" t="s">
        <v>299</v>
      </c>
      <c r="D794" s="40" t="s">
        <v>18</v>
      </c>
      <c r="E794" s="89"/>
      <c r="F794" s="29"/>
      <c r="G794" s="412"/>
      <c r="H794" s="2"/>
      <c r="I794" s="2"/>
    </row>
    <row r="795" spans="1:9" s="145" customFormat="1" hidden="1" x14ac:dyDescent="0.25">
      <c r="A795" s="131">
        <v>1</v>
      </c>
      <c r="B795" s="136" t="s">
        <v>240</v>
      </c>
      <c r="C795" s="376" t="s">
        <v>299</v>
      </c>
      <c r="D795" s="25" t="s">
        <v>35</v>
      </c>
      <c r="E795" s="660">
        <v>240</v>
      </c>
      <c r="F795" s="2">
        <v>328</v>
      </c>
      <c r="G795" s="337">
        <v>8</v>
      </c>
      <c r="H795" s="2">
        <f>ROUND(I795/E795,0)</f>
        <v>11</v>
      </c>
      <c r="I795" s="2">
        <f>ROUND(F795*G795,0)</f>
        <v>2624</v>
      </c>
    </row>
    <row r="796" spans="1:9" s="145" customFormat="1" hidden="1" x14ac:dyDescent="0.25">
      <c r="A796" s="131">
        <v>1</v>
      </c>
      <c r="B796" s="136" t="s">
        <v>240</v>
      </c>
      <c r="C796" s="376" t="s">
        <v>299</v>
      </c>
      <c r="D796" s="644" t="s">
        <v>94</v>
      </c>
      <c r="E796" s="662"/>
      <c r="F796" s="31">
        <f>SUM(F795)</f>
        <v>328</v>
      </c>
      <c r="G796" s="158">
        <f>I796/F796</f>
        <v>8</v>
      </c>
      <c r="H796" s="31">
        <f t="shared" ref="H796:I797" si="16">H795</f>
        <v>11</v>
      </c>
      <c r="I796" s="31">
        <f t="shared" si="16"/>
        <v>2624</v>
      </c>
    </row>
    <row r="797" spans="1:9" s="145" customFormat="1" hidden="1" x14ac:dyDescent="0.25">
      <c r="A797" s="131">
        <v>1</v>
      </c>
      <c r="B797" s="136" t="s">
        <v>240</v>
      </c>
      <c r="C797" s="376" t="s">
        <v>299</v>
      </c>
      <c r="D797" s="26" t="s">
        <v>88</v>
      </c>
      <c r="E797" s="157"/>
      <c r="F797" s="29">
        <f>F796</f>
        <v>328</v>
      </c>
      <c r="G797" s="158">
        <f>I797/F797</f>
        <v>8</v>
      </c>
      <c r="H797" s="29">
        <f>H796</f>
        <v>11</v>
      </c>
      <c r="I797" s="29">
        <f t="shared" si="16"/>
        <v>2624</v>
      </c>
    </row>
    <row r="798" spans="1:9" s="145" customFormat="1" ht="15.75" hidden="1" thickBot="1" x14ac:dyDescent="0.3">
      <c r="A798" s="131">
        <v>1</v>
      </c>
      <c r="B798" s="136" t="s">
        <v>240</v>
      </c>
      <c r="C798" s="376" t="s">
        <v>299</v>
      </c>
      <c r="D798" s="652" t="s">
        <v>213</v>
      </c>
      <c r="E798" s="653"/>
      <c r="F798" s="653"/>
      <c r="G798" s="653"/>
      <c r="H798" s="653"/>
      <c r="I798" s="653"/>
    </row>
    <row r="799" spans="1:9" s="145" customFormat="1" ht="31.5" hidden="1" x14ac:dyDescent="0.25">
      <c r="A799" s="131">
        <v>1</v>
      </c>
      <c r="B799" s="136" t="s">
        <v>228</v>
      </c>
      <c r="C799" s="376" t="s">
        <v>299</v>
      </c>
      <c r="D799" s="763" t="s">
        <v>378</v>
      </c>
      <c r="E799" s="192"/>
      <c r="F799" s="315"/>
      <c r="G799" s="316"/>
      <c r="H799" s="316"/>
      <c r="I799" s="316"/>
    </row>
    <row r="800" spans="1:9" s="145" customFormat="1" ht="31.5" hidden="1" x14ac:dyDescent="0.25">
      <c r="A800" s="131">
        <v>1</v>
      </c>
      <c r="B800" s="136" t="s">
        <v>228</v>
      </c>
      <c r="C800" s="376" t="s">
        <v>299</v>
      </c>
      <c r="D800" s="27" t="s">
        <v>104</v>
      </c>
      <c r="E800" s="144"/>
      <c r="F800" s="317">
        <v>6458</v>
      </c>
      <c r="G800" s="144"/>
      <c r="H800" s="38"/>
      <c r="I800" s="38"/>
    </row>
    <row r="801" spans="1:9" s="145" customFormat="1" ht="31.5" hidden="1" x14ac:dyDescent="0.25">
      <c r="A801" s="131">
        <v>1</v>
      </c>
      <c r="B801" s="136" t="s">
        <v>228</v>
      </c>
      <c r="C801" s="376" t="s">
        <v>299</v>
      </c>
      <c r="D801" s="27" t="s">
        <v>103</v>
      </c>
      <c r="E801" s="144"/>
      <c r="F801" s="317">
        <v>1685</v>
      </c>
      <c r="G801" s="144"/>
      <c r="H801" s="38"/>
      <c r="I801" s="38"/>
    </row>
    <row r="802" spans="1:9" s="145" customFormat="1" ht="15.75" hidden="1" x14ac:dyDescent="0.25">
      <c r="A802" s="131">
        <v>1</v>
      </c>
      <c r="B802" s="136" t="s">
        <v>228</v>
      </c>
      <c r="C802" s="376" t="s">
        <v>299</v>
      </c>
      <c r="D802" s="27" t="s">
        <v>114</v>
      </c>
      <c r="E802" s="144"/>
      <c r="F802" s="317">
        <v>1217</v>
      </c>
      <c r="G802" s="144"/>
      <c r="H802" s="38"/>
      <c r="I802" s="38"/>
    </row>
    <row r="803" spans="1:9" s="145" customFormat="1" ht="16.5" hidden="1" customHeight="1" thickBot="1" x14ac:dyDescent="0.3">
      <c r="A803" s="131"/>
      <c r="B803" s="136" t="s">
        <v>228</v>
      </c>
      <c r="C803" s="376" t="s">
        <v>299</v>
      </c>
      <c r="D803" s="671" t="s">
        <v>164</v>
      </c>
      <c r="E803" s="192"/>
      <c r="F803" s="318">
        <f>SUM(F800:F802)</f>
        <v>9360</v>
      </c>
      <c r="G803" s="192"/>
      <c r="H803" s="319"/>
      <c r="I803" s="319"/>
    </row>
    <row r="804" spans="1:9" s="145" customFormat="1" ht="15.75" hidden="1" thickBot="1" x14ac:dyDescent="0.3">
      <c r="A804" s="131">
        <v>1</v>
      </c>
      <c r="B804" s="136" t="s">
        <v>228</v>
      </c>
      <c r="C804" s="376" t="s">
        <v>299</v>
      </c>
      <c r="D804" s="247" t="s">
        <v>213</v>
      </c>
      <c r="E804" s="312"/>
      <c r="F804" s="313"/>
      <c r="G804" s="314"/>
      <c r="H804" s="314"/>
      <c r="I804" s="314"/>
    </row>
    <row r="805" spans="1:9" ht="32.25" hidden="1" customHeight="1" x14ac:dyDescent="0.25">
      <c r="A805" s="131">
        <v>1</v>
      </c>
      <c r="B805" s="136" t="s">
        <v>241</v>
      </c>
      <c r="C805" s="376" t="s">
        <v>299</v>
      </c>
      <c r="D805" s="800" t="s">
        <v>379</v>
      </c>
      <c r="E805" s="801"/>
      <c r="F805" s="672"/>
      <c r="G805" s="398"/>
      <c r="H805" s="398"/>
      <c r="I805" s="398"/>
    </row>
    <row r="806" spans="1:9" ht="15.75" hidden="1" x14ac:dyDescent="0.25">
      <c r="A806" s="131">
        <v>1</v>
      </c>
      <c r="B806" s="136" t="s">
        <v>241</v>
      </c>
      <c r="C806" s="376" t="s">
        <v>299</v>
      </c>
      <c r="D806" s="673" t="s">
        <v>105</v>
      </c>
      <c r="E806" s="398"/>
      <c r="F806" s="672">
        <f>F807+F808</f>
        <v>77397</v>
      </c>
      <c r="G806" s="398"/>
      <c r="H806" s="398"/>
      <c r="I806" s="398"/>
    </row>
    <row r="807" spans="1:9" ht="15.75" hidden="1" x14ac:dyDescent="0.25">
      <c r="A807" s="131">
        <v>1</v>
      </c>
      <c r="B807" s="136" t="s">
        <v>241</v>
      </c>
      <c r="C807" s="376" t="s">
        <v>299</v>
      </c>
      <c r="D807" s="674" t="s">
        <v>106</v>
      </c>
      <c r="E807" s="398"/>
      <c r="F807" s="398">
        <v>77387</v>
      </c>
      <c r="G807" s="398"/>
      <c r="H807" s="398"/>
      <c r="I807" s="398"/>
    </row>
    <row r="808" spans="1:9" ht="31.5" hidden="1" x14ac:dyDescent="0.25">
      <c r="A808" s="131">
        <v>1</v>
      </c>
      <c r="B808" s="136" t="s">
        <v>241</v>
      </c>
      <c r="C808" s="376" t="s">
        <v>299</v>
      </c>
      <c r="D808" s="674" t="s">
        <v>107</v>
      </c>
      <c r="E808" s="398"/>
      <c r="F808" s="398">
        <v>10</v>
      </c>
      <c r="G808" s="398"/>
      <c r="H808" s="398"/>
      <c r="I808" s="398"/>
    </row>
    <row r="809" spans="1:9" hidden="1" x14ac:dyDescent="0.25">
      <c r="B809" s="136" t="s">
        <v>241</v>
      </c>
      <c r="C809" s="376" t="s">
        <v>299</v>
      </c>
      <c r="D809" s="26" t="s">
        <v>108</v>
      </c>
      <c r="E809" s="633"/>
      <c r="F809" s="675">
        <f>F806</f>
        <v>77397</v>
      </c>
      <c r="G809" s="633"/>
      <c r="H809" s="633"/>
      <c r="I809" s="633"/>
    </row>
    <row r="810" spans="1:9" ht="15.75" hidden="1" thickBot="1" x14ac:dyDescent="0.3">
      <c r="A810" s="131">
        <v>1</v>
      </c>
      <c r="B810" s="136" t="s">
        <v>241</v>
      </c>
      <c r="C810" s="376" t="s">
        <v>299</v>
      </c>
      <c r="D810" s="381" t="s">
        <v>213</v>
      </c>
      <c r="E810" s="381"/>
      <c r="F810" s="381"/>
      <c r="G810" s="381"/>
      <c r="H810" s="381"/>
      <c r="I810" s="381"/>
    </row>
    <row r="811" spans="1:9" x14ac:dyDescent="0.25">
      <c r="B811" s="376"/>
      <c r="C811" s="376" t="s">
        <v>299</v>
      </c>
      <c r="D811" s="413"/>
      <c r="E811" s="414"/>
      <c r="F811" s="414"/>
      <c r="G811" s="415"/>
      <c r="H811" s="416"/>
      <c r="I811" s="414"/>
    </row>
    <row r="812" spans="1:9" ht="15.75" x14ac:dyDescent="0.25">
      <c r="B812" s="376"/>
      <c r="C812" s="376" t="s">
        <v>299</v>
      </c>
      <c r="D812" s="417"/>
      <c r="E812" s="418"/>
      <c r="F812" s="418"/>
      <c r="G812" s="418"/>
      <c r="H812" s="418"/>
      <c r="I812" s="418"/>
    </row>
    <row r="1306" spans="6:6" x14ac:dyDescent="0.25">
      <c r="F1306" s="419">
        <f>SUM(F814,F539,F699)</f>
        <v>4090</v>
      </c>
    </row>
  </sheetData>
  <autoFilter ref="A9:AI812"/>
  <sortState ref="D409:I417">
    <sortCondition ref="D409:D417"/>
  </sortState>
  <mergeCells count="9">
    <mergeCell ref="G1:H1"/>
    <mergeCell ref="F2:H2"/>
    <mergeCell ref="I6:I8"/>
    <mergeCell ref="D4:I5"/>
    <mergeCell ref="D805:E805"/>
    <mergeCell ref="E6:E8"/>
    <mergeCell ref="G6:G8"/>
    <mergeCell ref="H6:H8"/>
    <mergeCell ref="F6:F8"/>
  </mergeCells>
  <pageMargins left="0.39370078740157483" right="0" top="0.31496062992125984" bottom="0.19685039370078741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F1359"/>
  <sheetViews>
    <sheetView zoomScale="90" zoomScaleNormal="90" zoomScaleSheetLayoutView="75" workbookViewId="0">
      <pane xSplit="1" ySplit="9" topLeftCell="B82" activePane="bottomRight" state="frozen"/>
      <selection activeCell="J30" sqref="J30"/>
      <selection pane="topRight" activeCell="J30" sqref="J30"/>
      <selection pane="bottomLeft" activeCell="J30" sqref="J30"/>
      <selection pane="bottomRight" activeCell="J30" sqref="J30"/>
    </sheetView>
  </sheetViews>
  <sheetFormatPr defaultColWidth="11.42578125" defaultRowHeight="15" customHeight="1" x14ac:dyDescent="0.25"/>
  <cols>
    <col min="1" max="1" width="41.42578125" style="81" customWidth="1"/>
    <col min="2" max="2" width="8.85546875" style="81" customWidth="1"/>
    <col min="3" max="3" width="13.140625" style="81" customWidth="1"/>
    <col min="4" max="4" width="10.7109375" style="81" customWidth="1"/>
    <col min="5" max="5" width="14.28515625" style="81" customWidth="1"/>
    <col min="6" max="6" width="10.85546875" style="81" customWidth="1"/>
    <col min="7" max="16384" width="11.42578125" style="81"/>
  </cols>
  <sheetData>
    <row r="1" spans="1:6" ht="15" customHeight="1" x14ac:dyDescent="0.25">
      <c r="D1" s="132"/>
      <c r="E1" s="776" t="s">
        <v>435</v>
      </c>
      <c r="F1" s="776"/>
    </row>
    <row r="2" spans="1:6" ht="30" customHeight="1" x14ac:dyDescent="0.25">
      <c r="D2" s="777" t="s">
        <v>436</v>
      </c>
      <c r="E2" s="777"/>
      <c r="F2" s="777"/>
    </row>
    <row r="4" spans="1:6" s="49" customFormat="1" ht="30.75" customHeight="1" x14ac:dyDescent="0.25">
      <c r="A4" s="778" t="s">
        <v>337</v>
      </c>
      <c r="B4" s="779"/>
      <c r="C4" s="779"/>
      <c r="D4" s="779"/>
      <c r="E4" s="779"/>
      <c r="F4" s="779"/>
    </row>
    <row r="5" spans="1:6" ht="25.5" customHeight="1" thickBot="1" x14ac:dyDescent="0.3">
      <c r="A5" s="779"/>
      <c r="B5" s="779"/>
      <c r="C5" s="779"/>
      <c r="D5" s="779"/>
      <c r="E5" s="779"/>
      <c r="F5" s="779"/>
    </row>
    <row r="6" spans="1:6" ht="33" customHeight="1" x14ac:dyDescent="0.3">
      <c r="A6" s="4" t="s">
        <v>109</v>
      </c>
      <c r="B6" s="783" t="s">
        <v>1</v>
      </c>
      <c r="C6" s="794" t="s">
        <v>144</v>
      </c>
      <c r="D6" s="789" t="s">
        <v>0</v>
      </c>
      <c r="E6" s="783" t="s">
        <v>2</v>
      </c>
      <c r="F6" s="786" t="s">
        <v>115</v>
      </c>
    </row>
    <row r="7" spans="1:6" ht="15" customHeight="1" x14ac:dyDescent="0.3">
      <c r="A7" s="5"/>
      <c r="B7" s="784"/>
      <c r="C7" s="795"/>
      <c r="D7" s="790"/>
      <c r="E7" s="784"/>
      <c r="F7" s="787"/>
    </row>
    <row r="8" spans="1:6" ht="41.25" customHeight="1" thickBot="1" x14ac:dyDescent="0.3">
      <c r="A8" s="6" t="s">
        <v>3</v>
      </c>
      <c r="B8" s="785"/>
      <c r="C8" s="796"/>
      <c r="D8" s="791"/>
      <c r="E8" s="785"/>
      <c r="F8" s="788"/>
    </row>
    <row r="9" spans="1:6" ht="15" customHeight="1" thickBot="1" x14ac:dyDescent="0.3">
      <c r="A9" s="7">
        <v>1</v>
      </c>
      <c r="B9" s="8">
        <v>2</v>
      </c>
      <c r="C9" s="8">
        <v>3</v>
      </c>
      <c r="D9" s="8">
        <v>4</v>
      </c>
      <c r="E9" s="7">
        <v>5</v>
      </c>
      <c r="F9" s="8">
        <v>6</v>
      </c>
    </row>
    <row r="10" spans="1:6" ht="47.25" x14ac:dyDescent="0.25">
      <c r="A10" s="772" t="s">
        <v>322</v>
      </c>
      <c r="B10" s="685"/>
      <c r="C10" s="685"/>
      <c r="D10" s="113"/>
      <c r="E10" s="113"/>
      <c r="F10" s="113"/>
    </row>
    <row r="11" spans="1:6" x14ac:dyDescent="0.25">
      <c r="A11" s="766" t="s">
        <v>4</v>
      </c>
      <c r="B11" s="767"/>
      <c r="C11" s="767"/>
      <c r="D11" s="54"/>
      <c r="E11" s="54"/>
      <c r="F11" s="54"/>
    </row>
    <row r="12" spans="1:6" x14ac:dyDescent="0.25">
      <c r="A12" s="46" t="s">
        <v>21</v>
      </c>
      <c r="B12" s="767">
        <v>340</v>
      </c>
      <c r="C12" s="54">
        <f>400-19</f>
        <v>381</v>
      </c>
      <c r="D12" s="112">
        <v>6.1</v>
      </c>
      <c r="E12" s="88">
        <f t="shared" ref="E12:E19" si="0">ROUND(F12/B12,0)</f>
        <v>7</v>
      </c>
      <c r="F12" s="2">
        <f t="shared" ref="F12:F19" si="1">ROUND(C12*D12,0)</f>
        <v>2324</v>
      </c>
    </row>
    <row r="13" spans="1:6" x14ac:dyDescent="0.25">
      <c r="A13" s="46" t="s">
        <v>26</v>
      </c>
      <c r="B13" s="767">
        <v>300</v>
      </c>
      <c r="C13" s="54">
        <f>142-10</f>
        <v>132</v>
      </c>
      <c r="D13" s="112">
        <v>5.2</v>
      </c>
      <c r="E13" s="88">
        <f t="shared" si="0"/>
        <v>2</v>
      </c>
      <c r="F13" s="2">
        <f t="shared" si="1"/>
        <v>686</v>
      </c>
    </row>
    <row r="14" spans="1:6" x14ac:dyDescent="0.25">
      <c r="A14" s="46" t="s">
        <v>25</v>
      </c>
      <c r="B14" s="767">
        <v>270</v>
      </c>
      <c r="C14" s="54">
        <v>546</v>
      </c>
      <c r="D14" s="112">
        <v>8.1999999999999993</v>
      </c>
      <c r="E14" s="88">
        <f t="shared" si="0"/>
        <v>17</v>
      </c>
      <c r="F14" s="2">
        <f t="shared" si="1"/>
        <v>4477</v>
      </c>
    </row>
    <row r="15" spans="1:6" x14ac:dyDescent="0.25">
      <c r="A15" s="32" t="s">
        <v>110</v>
      </c>
      <c r="B15" s="767">
        <v>330</v>
      </c>
      <c r="C15" s="54">
        <v>25</v>
      </c>
      <c r="D15" s="94">
        <v>10</v>
      </c>
      <c r="E15" s="88">
        <f t="shared" si="0"/>
        <v>1</v>
      </c>
      <c r="F15" s="2">
        <f t="shared" si="1"/>
        <v>250</v>
      </c>
    </row>
    <row r="16" spans="1:6" x14ac:dyDescent="0.25">
      <c r="A16" s="46" t="s">
        <v>48</v>
      </c>
      <c r="B16" s="767">
        <v>340</v>
      </c>
      <c r="C16" s="54">
        <v>180</v>
      </c>
      <c r="D16" s="47">
        <v>7.7</v>
      </c>
      <c r="E16" s="88">
        <f t="shared" si="0"/>
        <v>4</v>
      </c>
      <c r="F16" s="2">
        <f t="shared" si="1"/>
        <v>1386</v>
      </c>
    </row>
    <row r="17" spans="1:6" x14ac:dyDescent="0.25">
      <c r="A17" s="46" t="s">
        <v>24</v>
      </c>
      <c r="B17" s="767">
        <v>320</v>
      </c>
      <c r="C17" s="54">
        <v>261</v>
      </c>
      <c r="D17" s="112">
        <v>9</v>
      </c>
      <c r="E17" s="88">
        <f t="shared" si="0"/>
        <v>7</v>
      </c>
      <c r="F17" s="2">
        <f t="shared" si="1"/>
        <v>2349</v>
      </c>
    </row>
    <row r="18" spans="1:6" x14ac:dyDescent="0.25">
      <c r="A18" s="46" t="s">
        <v>19</v>
      </c>
      <c r="B18" s="767">
        <v>340</v>
      </c>
      <c r="C18" s="54">
        <f>720-2</f>
        <v>718</v>
      </c>
      <c r="D18" s="112">
        <v>11</v>
      </c>
      <c r="E18" s="88">
        <f t="shared" si="0"/>
        <v>23</v>
      </c>
      <c r="F18" s="2">
        <f t="shared" si="1"/>
        <v>7898</v>
      </c>
    </row>
    <row r="19" spans="1:6" x14ac:dyDescent="0.25">
      <c r="A19" s="46" t="s">
        <v>10</v>
      </c>
      <c r="B19" s="767">
        <v>340</v>
      </c>
      <c r="C19" s="54">
        <v>870</v>
      </c>
      <c r="D19" s="112">
        <v>9</v>
      </c>
      <c r="E19" s="88">
        <f t="shared" si="0"/>
        <v>23</v>
      </c>
      <c r="F19" s="2">
        <f t="shared" si="1"/>
        <v>7830</v>
      </c>
    </row>
    <row r="20" spans="1:6" ht="29.25" x14ac:dyDescent="0.25">
      <c r="A20" s="21" t="s">
        <v>5</v>
      </c>
      <c r="B20" s="59"/>
      <c r="C20" s="59">
        <f>SUM(C12:C19)</f>
        <v>3113</v>
      </c>
      <c r="D20" s="96">
        <f>F20/C20</f>
        <v>8.737552200449727</v>
      </c>
      <c r="E20" s="59">
        <f>SUM(E12:E19)</f>
        <v>84</v>
      </c>
      <c r="F20" s="59">
        <f>SUM(F12:F19)</f>
        <v>27200</v>
      </c>
    </row>
    <row r="21" spans="1:6" s="55" customFormat="1" ht="60" x14ac:dyDescent="0.25">
      <c r="A21" s="621" t="s">
        <v>250</v>
      </c>
      <c r="B21" s="12"/>
      <c r="C21" s="77"/>
      <c r="D21" s="77"/>
      <c r="E21" s="77"/>
      <c r="F21" s="43"/>
    </row>
    <row r="22" spans="1:6" s="55" customFormat="1" ht="29.25" x14ac:dyDescent="0.25">
      <c r="A22" s="14" t="s">
        <v>192</v>
      </c>
      <c r="B22" s="12"/>
      <c r="C22" s="77">
        <f>C24+C25+C26+C27</f>
        <v>28820</v>
      </c>
      <c r="D22" s="77"/>
      <c r="E22" s="77"/>
      <c r="F22" s="43"/>
    </row>
    <row r="23" spans="1:6" s="55" customFormat="1" ht="30" x14ac:dyDescent="0.25">
      <c r="A23" s="18" t="s">
        <v>116</v>
      </c>
      <c r="B23" s="12"/>
      <c r="C23" s="77"/>
      <c r="D23" s="77"/>
      <c r="E23" s="77"/>
      <c r="F23" s="43"/>
    </row>
    <row r="24" spans="1:6" s="55" customFormat="1" ht="30" x14ac:dyDescent="0.25">
      <c r="A24" s="16" t="s">
        <v>397</v>
      </c>
      <c r="B24" s="12"/>
      <c r="C24" s="77">
        <v>22000</v>
      </c>
      <c r="D24" s="77"/>
      <c r="E24" s="77"/>
      <c r="F24" s="43"/>
    </row>
    <row r="25" spans="1:6" s="55" customFormat="1" ht="60" x14ac:dyDescent="0.25">
      <c r="A25" s="15" t="s">
        <v>398</v>
      </c>
      <c r="B25" s="12"/>
      <c r="C25" s="62">
        <v>1300</v>
      </c>
      <c r="D25" s="77"/>
      <c r="E25" s="77"/>
      <c r="F25" s="43"/>
    </row>
    <row r="26" spans="1:6" s="55" customFormat="1" ht="45" x14ac:dyDescent="0.25">
      <c r="A26" s="15" t="s">
        <v>399</v>
      </c>
      <c r="B26" s="12"/>
      <c r="C26" s="62">
        <v>3520</v>
      </c>
      <c r="D26" s="77"/>
      <c r="E26" s="77"/>
      <c r="F26" s="43"/>
    </row>
    <row r="27" spans="1:6" s="55" customFormat="1" ht="90" x14ac:dyDescent="0.25">
      <c r="A27" s="15" t="s">
        <v>400</v>
      </c>
      <c r="B27" s="12"/>
      <c r="C27" s="62">
        <v>2000</v>
      </c>
      <c r="D27" s="77"/>
      <c r="E27" s="77"/>
      <c r="F27" s="43"/>
    </row>
    <row r="28" spans="1:6" s="55" customFormat="1" ht="29.25" x14ac:dyDescent="0.25">
      <c r="A28" s="57" t="s">
        <v>90</v>
      </c>
      <c r="B28" s="12"/>
      <c r="C28" s="77">
        <f>C29+C30+C31</f>
        <v>32057</v>
      </c>
      <c r="D28" s="77"/>
      <c r="E28" s="77"/>
      <c r="F28" s="43"/>
    </row>
    <row r="29" spans="1:6" s="55" customFormat="1" x14ac:dyDescent="0.25">
      <c r="A29" s="19" t="s">
        <v>145</v>
      </c>
      <c r="B29" s="12"/>
      <c r="C29" s="62">
        <v>30452</v>
      </c>
      <c r="D29" s="77"/>
      <c r="E29" s="77"/>
      <c r="F29" s="43"/>
    </row>
    <row r="30" spans="1:6" s="55" customFormat="1" ht="45" x14ac:dyDescent="0.25">
      <c r="A30" s="19" t="s">
        <v>414</v>
      </c>
      <c r="B30" s="12"/>
      <c r="C30" s="373">
        <v>957</v>
      </c>
      <c r="D30" s="512"/>
      <c r="E30" s="512"/>
      <c r="F30" s="74"/>
    </row>
    <row r="31" spans="1:6" s="55" customFormat="1" ht="75" x14ac:dyDescent="0.25">
      <c r="A31" s="19" t="s">
        <v>421</v>
      </c>
      <c r="B31" s="12"/>
      <c r="C31" s="373">
        <v>648</v>
      </c>
      <c r="D31" s="512"/>
      <c r="E31" s="512"/>
      <c r="F31" s="74"/>
    </row>
    <row r="32" spans="1:6" s="55" customFormat="1" x14ac:dyDescent="0.25">
      <c r="A32" s="33" t="s">
        <v>98</v>
      </c>
      <c r="B32" s="12"/>
      <c r="C32" s="62"/>
      <c r="D32" s="77"/>
      <c r="E32" s="77"/>
      <c r="F32" s="43"/>
    </row>
    <row r="33" spans="1:6" s="55" customFormat="1" ht="90" x14ac:dyDescent="0.25">
      <c r="A33" s="15" t="s">
        <v>420</v>
      </c>
      <c r="B33" s="12"/>
      <c r="C33" s="62">
        <v>3240</v>
      </c>
      <c r="D33" s="77"/>
      <c r="E33" s="77"/>
      <c r="F33" s="43"/>
    </row>
    <row r="34" spans="1:6" s="55" customFormat="1" ht="43.5" x14ac:dyDescent="0.25">
      <c r="A34" s="14" t="s">
        <v>333</v>
      </c>
      <c r="B34" s="12"/>
      <c r="C34" s="77">
        <f>C35+C42</f>
        <v>11280</v>
      </c>
      <c r="D34" s="77"/>
      <c r="E34" s="77"/>
      <c r="F34" s="43"/>
    </row>
    <row r="35" spans="1:6" s="55" customFormat="1" ht="30" x14ac:dyDescent="0.25">
      <c r="A35" s="16" t="s">
        <v>193</v>
      </c>
      <c r="B35" s="59"/>
      <c r="C35" s="59">
        <f>SUM(C36:C41)-C39</f>
        <v>6204</v>
      </c>
      <c r="D35" s="62"/>
      <c r="E35" s="62"/>
      <c r="F35" s="43"/>
    </row>
    <row r="36" spans="1:6" s="55" customFormat="1" ht="30" x14ac:dyDescent="0.25">
      <c r="A36" s="15" t="s">
        <v>334</v>
      </c>
      <c r="B36" s="24"/>
      <c r="C36" s="2">
        <v>4853</v>
      </c>
      <c r="D36" s="24"/>
      <c r="E36" s="24"/>
      <c r="F36" s="24"/>
    </row>
    <row r="37" spans="1:6" s="55" customFormat="1" ht="51.75" customHeight="1" x14ac:dyDescent="0.25">
      <c r="A37" s="15" t="s">
        <v>402</v>
      </c>
      <c r="B37" s="59"/>
      <c r="C37" s="54">
        <v>500</v>
      </c>
      <c r="D37" s="62"/>
      <c r="E37" s="62"/>
      <c r="F37" s="43"/>
    </row>
    <row r="38" spans="1:6" s="55" customFormat="1" ht="30" x14ac:dyDescent="0.25">
      <c r="A38" s="15" t="s">
        <v>380</v>
      </c>
      <c r="B38" s="59"/>
      <c r="C38" s="54">
        <v>729</v>
      </c>
      <c r="D38" s="62"/>
      <c r="E38" s="62"/>
      <c r="F38" s="43"/>
    </row>
    <row r="39" spans="1:6" s="55" customFormat="1" ht="30" x14ac:dyDescent="0.25">
      <c r="A39" s="15" t="s">
        <v>381</v>
      </c>
      <c r="B39" s="59"/>
      <c r="C39" s="54"/>
      <c r="D39" s="62"/>
      <c r="E39" s="62"/>
      <c r="F39" s="43"/>
    </row>
    <row r="40" spans="1:6" s="55" customFormat="1" ht="45" x14ac:dyDescent="0.25">
      <c r="A40" s="15" t="s">
        <v>382</v>
      </c>
      <c r="B40" s="59"/>
      <c r="C40" s="54">
        <v>14</v>
      </c>
      <c r="D40" s="62"/>
      <c r="E40" s="62"/>
      <c r="F40" s="43"/>
    </row>
    <row r="41" spans="1:6" s="55" customFormat="1" ht="30" x14ac:dyDescent="0.25">
      <c r="A41" s="15" t="s">
        <v>383</v>
      </c>
      <c r="B41" s="59"/>
      <c r="C41" s="54">
        <v>108</v>
      </c>
      <c r="D41" s="62"/>
      <c r="E41" s="62"/>
      <c r="F41" s="43"/>
    </row>
    <row r="42" spans="1:6" s="55" customFormat="1" ht="45" x14ac:dyDescent="0.25">
      <c r="A42" s="16" t="s">
        <v>194</v>
      </c>
      <c r="B42" s="59"/>
      <c r="C42" s="59">
        <f>SUM(C43:C46)</f>
        <v>5076</v>
      </c>
      <c r="D42" s="62"/>
      <c r="E42" s="62"/>
      <c r="F42" s="43"/>
    </row>
    <row r="43" spans="1:6" s="55" customFormat="1" ht="30" x14ac:dyDescent="0.25">
      <c r="A43" s="15" t="s">
        <v>384</v>
      </c>
      <c r="B43" s="59"/>
      <c r="C43" s="10">
        <v>1276</v>
      </c>
      <c r="D43" s="54"/>
      <c r="E43" s="54"/>
      <c r="F43" s="54"/>
    </row>
    <row r="44" spans="1:6" s="55" customFormat="1" ht="60" x14ac:dyDescent="0.25">
      <c r="A44" s="15" t="s">
        <v>433</v>
      </c>
      <c r="B44" s="59"/>
      <c r="C44" s="10">
        <v>100</v>
      </c>
      <c r="D44" s="54"/>
      <c r="E44" s="54"/>
      <c r="F44" s="54"/>
    </row>
    <row r="45" spans="1:6" s="55" customFormat="1" ht="60" x14ac:dyDescent="0.25">
      <c r="A45" s="15" t="s">
        <v>385</v>
      </c>
      <c r="B45" s="54"/>
      <c r="C45" s="2">
        <v>3200</v>
      </c>
      <c r="D45" s="54"/>
      <c r="E45" s="54"/>
      <c r="F45" s="54"/>
    </row>
    <row r="46" spans="1:6" s="55" customFormat="1" ht="45" x14ac:dyDescent="0.25">
      <c r="A46" s="15" t="s">
        <v>386</v>
      </c>
      <c r="B46" s="54"/>
      <c r="C46" s="2">
        <v>500</v>
      </c>
      <c r="D46" s="60"/>
      <c r="E46" s="60"/>
      <c r="F46" s="60"/>
    </row>
    <row r="47" spans="1:6" s="55" customFormat="1" ht="30" x14ac:dyDescent="0.25">
      <c r="A47" s="16" t="s">
        <v>98</v>
      </c>
      <c r="B47" s="54"/>
      <c r="C47" s="2"/>
      <c r="D47" s="60"/>
      <c r="E47" s="60"/>
      <c r="F47" s="60"/>
    </row>
    <row r="48" spans="1:6" s="55" customFormat="1" ht="29.25" x14ac:dyDescent="0.25">
      <c r="A48" s="14" t="s">
        <v>251</v>
      </c>
      <c r="B48" s="54"/>
      <c r="C48" s="11">
        <f>SUM(C49,C53,C55,C50,C56,C58*5,C59*5,C60*10)</f>
        <v>2786</v>
      </c>
      <c r="D48" s="60"/>
      <c r="E48" s="60"/>
      <c r="F48" s="60"/>
    </row>
    <row r="49" spans="1:6" s="98" customFormat="1" x14ac:dyDescent="0.25">
      <c r="A49" s="15" t="s">
        <v>252</v>
      </c>
      <c r="B49" s="59"/>
      <c r="C49" s="54"/>
      <c r="D49" s="85"/>
      <c r="E49" s="85"/>
      <c r="F49" s="85"/>
    </row>
    <row r="50" spans="1:6" s="98" customFormat="1" ht="30" x14ac:dyDescent="0.25">
      <c r="A50" s="16" t="s">
        <v>388</v>
      </c>
      <c r="B50" s="61"/>
      <c r="C50" s="29">
        <f>C51+C52/4</f>
        <v>1000</v>
      </c>
      <c r="D50" s="85"/>
      <c r="E50" s="85"/>
      <c r="F50" s="85"/>
    </row>
    <row r="51" spans="1:6" s="55" customFormat="1" x14ac:dyDescent="0.25">
      <c r="A51" s="15" t="s">
        <v>389</v>
      </c>
      <c r="B51" s="59"/>
      <c r="C51" s="71"/>
      <c r="D51" s="62"/>
      <c r="E51" s="62"/>
      <c r="F51" s="43"/>
    </row>
    <row r="52" spans="1:6" s="98" customFormat="1" ht="30" x14ac:dyDescent="0.25">
      <c r="A52" s="15" t="s">
        <v>390</v>
      </c>
      <c r="B52" s="13"/>
      <c r="C52" s="54">
        <v>4000</v>
      </c>
      <c r="D52" s="85"/>
      <c r="E52" s="85"/>
      <c r="F52" s="85"/>
    </row>
    <row r="53" spans="1:6" s="98" customFormat="1" ht="60" x14ac:dyDescent="0.25">
      <c r="A53" s="15" t="s">
        <v>392</v>
      </c>
      <c r="B53" s="13"/>
      <c r="C53" s="39"/>
      <c r="D53" s="85"/>
      <c r="E53" s="85"/>
      <c r="F53" s="85"/>
    </row>
    <row r="54" spans="1:6" s="98" customFormat="1" ht="45" x14ac:dyDescent="0.25">
      <c r="A54" s="18" t="s">
        <v>393</v>
      </c>
      <c r="B54" s="13"/>
      <c r="C54" s="39"/>
      <c r="D54" s="85"/>
      <c r="E54" s="85"/>
      <c r="F54" s="85"/>
    </row>
    <row r="55" spans="1:6" s="98" customFormat="1" ht="90" x14ac:dyDescent="0.25">
      <c r="A55" s="18" t="s">
        <v>394</v>
      </c>
      <c r="B55" s="13"/>
      <c r="C55" s="39">
        <v>300</v>
      </c>
      <c r="D55" s="85"/>
      <c r="E55" s="85"/>
      <c r="F55" s="85"/>
    </row>
    <row r="56" spans="1:6" s="98" customFormat="1" ht="30" x14ac:dyDescent="0.25">
      <c r="A56" s="18" t="s">
        <v>395</v>
      </c>
      <c r="B56" s="13"/>
      <c r="C56" s="39">
        <v>1456</v>
      </c>
      <c r="D56" s="85"/>
      <c r="E56" s="85"/>
      <c r="F56" s="85"/>
    </row>
    <row r="57" spans="1:6" s="98" customFormat="1" ht="32.25" customHeight="1" x14ac:dyDescent="0.25">
      <c r="A57" s="617" t="s">
        <v>422</v>
      </c>
      <c r="B57" s="13"/>
      <c r="C57" s="38">
        <f>C58+C59+C60</f>
        <v>5</v>
      </c>
      <c r="D57" s="85"/>
      <c r="E57" s="85"/>
      <c r="F57" s="85"/>
    </row>
    <row r="58" spans="1:6" s="98" customFormat="1" ht="18" customHeight="1" x14ac:dyDescent="0.25">
      <c r="A58" s="18" t="s">
        <v>423</v>
      </c>
      <c r="B58" s="13"/>
      <c r="C58" s="39">
        <v>2</v>
      </c>
      <c r="D58" s="85"/>
      <c r="E58" s="85"/>
      <c r="F58" s="85"/>
    </row>
    <row r="59" spans="1:6" s="98" customFormat="1" ht="23.25" customHeight="1" x14ac:dyDescent="0.25">
      <c r="A59" s="18" t="s">
        <v>424</v>
      </c>
      <c r="B59" s="13"/>
      <c r="C59" s="39">
        <v>2</v>
      </c>
      <c r="D59" s="85"/>
      <c r="E59" s="85"/>
      <c r="F59" s="85"/>
    </row>
    <row r="60" spans="1:6" s="98" customFormat="1" ht="30" x14ac:dyDescent="0.25">
      <c r="A60" s="18" t="s">
        <v>425</v>
      </c>
      <c r="B60" s="13"/>
      <c r="C60" s="39">
        <v>1</v>
      </c>
      <c r="D60" s="85"/>
      <c r="E60" s="85"/>
      <c r="F60" s="85"/>
    </row>
    <row r="61" spans="1:6" s="98" customFormat="1" ht="29.25" x14ac:dyDescent="0.25">
      <c r="A61" s="14" t="s">
        <v>253</v>
      </c>
      <c r="B61" s="13"/>
      <c r="C61" s="39">
        <f>C62+C63</f>
        <v>6300</v>
      </c>
      <c r="D61" s="85"/>
      <c r="E61" s="85"/>
      <c r="F61" s="85"/>
    </row>
    <row r="62" spans="1:6" s="98" customFormat="1" x14ac:dyDescent="0.25">
      <c r="A62" s="14" t="s">
        <v>254</v>
      </c>
      <c r="B62" s="13"/>
      <c r="C62" s="39"/>
      <c r="D62" s="85"/>
      <c r="E62" s="85"/>
      <c r="F62" s="85"/>
    </row>
    <row r="63" spans="1:6" s="98" customFormat="1" x14ac:dyDescent="0.25">
      <c r="A63" s="15" t="s">
        <v>255</v>
      </c>
      <c r="B63" s="13"/>
      <c r="C63" s="39">
        <f>C64/9.4</f>
        <v>6300</v>
      </c>
      <c r="D63" s="85"/>
      <c r="E63" s="85"/>
      <c r="F63" s="85"/>
    </row>
    <row r="64" spans="1:6" s="98" customFormat="1" x14ac:dyDescent="0.25">
      <c r="A64" s="42" t="s">
        <v>261</v>
      </c>
      <c r="B64" s="13"/>
      <c r="C64" s="39">
        <v>59220</v>
      </c>
      <c r="D64" s="85"/>
      <c r="E64" s="85"/>
      <c r="F64" s="85"/>
    </row>
    <row r="65" spans="1:6" s="98" customFormat="1" ht="29.25" x14ac:dyDescent="0.25">
      <c r="A65" s="14" t="s">
        <v>256</v>
      </c>
      <c r="B65" s="13"/>
      <c r="C65" s="115">
        <v>1300</v>
      </c>
      <c r="D65" s="85"/>
      <c r="E65" s="85"/>
      <c r="F65" s="85"/>
    </row>
    <row r="66" spans="1:6" s="98" customFormat="1" ht="30" x14ac:dyDescent="0.25">
      <c r="A66" s="440" t="s">
        <v>117</v>
      </c>
      <c r="B66" s="13"/>
      <c r="C66" s="2"/>
      <c r="D66" s="85"/>
      <c r="E66" s="85"/>
      <c r="F66" s="85"/>
    </row>
    <row r="67" spans="1:6" s="98" customFormat="1" ht="63.75" customHeight="1" x14ac:dyDescent="0.25">
      <c r="A67" s="14" t="s">
        <v>259</v>
      </c>
      <c r="B67" s="13"/>
      <c r="C67" s="39">
        <v>1700</v>
      </c>
      <c r="D67" s="85"/>
      <c r="E67" s="85"/>
      <c r="F67" s="85"/>
    </row>
    <row r="68" spans="1:6" s="98" customFormat="1" x14ac:dyDescent="0.25">
      <c r="A68" s="439" t="s">
        <v>165</v>
      </c>
      <c r="B68" s="13"/>
      <c r="C68" s="38">
        <f>C69+C70</f>
        <v>300</v>
      </c>
      <c r="D68" s="85"/>
      <c r="E68" s="85"/>
      <c r="F68" s="85"/>
    </row>
    <row r="69" spans="1:6" s="98" customFormat="1" x14ac:dyDescent="0.25">
      <c r="A69" s="147" t="s">
        <v>17</v>
      </c>
      <c r="B69" s="13"/>
      <c r="C69" s="39">
        <v>160</v>
      </c>
      <c r="D69" s="85"/>
      <c r="E69" s="85"/>
      <c r="F69" s="85"/>
    </row>
    <row r="70" spans="1:6" s="98" customFormat="1" ht="30" x14ac:dyDescent="0.25">
      <c r="A70" s="147" t="s">
        <v>297</v>
      </c>
      <c r="B70" s="13"/>
      <c r="C70" s="39">
        <v>140</v>
      </c>
      <c r="D70" s="85"/>
      <c r="E70" s="85"/>
      <c r="F70" s="85"/>
    </row>
    <row r="71" spans="1:6" s="98" customFormat="1" ht="57.75" x14ac:dyDescent="0.25">
      <c r="A71" s="21" t="s">
        <v>396</v>
      </c>
      <c r="B71" s="13"/>
      <c r="C71" s="38">
        <f>C33</f>
        <v>3240</v>
      </c>
      <c r="D71" s="85"/>
      <c r="E71" s="85"/>
      <c r="F71" s="85"/>
    </row>
    <row r="72" spans="1:6" s="98" customFormat="1" x14ac:dyDescent="0.25">
      <c r="A72" s="21" t="s">
        <v>195</v>
      </c>
      <c r="B72" s="13"/>
      <c r="C72" s="38">
        <f>C48+C22</f>
        <v>31606</v>
      </c>
      <c r="D72" s="85"/>
      <c r="E72" s="85"/>
      <c r="F72" s="85"/>
    </row>
    <row r="73" spans="1:6" s="98" customFormat="1" ht="29.25" x14ac:dyDescent="0.25">
      <c r="A73" s="21" t="s">
        <v>196</v>
      </c>
      <c r="B73" s="13"/>
      <c r="C73" s="38">
        <f>C34</f>
        <v>11280</v>
      </c>
      <c r="D73" s="85"/>
      <c r="E73" s="85"/>
      <c r="F73" s="85"/>
    </row>
    <row r="74" spans="1:6" s="98" customFormat="1" ht="22.5" customHeight="1" x14ac:dyDescent="0.25">
      <c r="A74" s="21" t="s">
        <v>197</v>
      </c>
      <c r="B74" s="13"/>
      <c r="C74" s="38">
        <f>C61+C28</f>
        <v>38357</v>
      </c>
      <c r="D74" s="85"/>
      <c r="E74" s="85"/>
      <c r="F74" s="85"/>
    </row>
    <row r="75" spans="1:6" s="98" customFormat="1" ht="29.25" x14ac:dyDescent="0.25">
      <c r="A75" s="21" t="s">
        <v>198</v>
      </c>
      <c r="B75" s="13"/>
      <c r="C75" s="38">
        <f>C65+C67</f>
        <v>3000</v>
      </c>
      <c r="D75" s="85"/>
      <c r="E75" s="85"/>
      <c r="F75" s="85"/>
    </row>
    <row r="76" spans="1:6" s="98" customFormat="1" x14ac:dyDescent="0.25">
      <c r="A76" s="22" t="s">
        <v>112</v>
      </c>
      <c r="B76" s="13"/>
      <c r="C76" s="38">
        <f>C72+C73+C75+C28*2.6+C64/4.2+C71*2.6</f>
        <v>151758.20000000001</v>
      </c>
      <c r="D76" s="85"/>
      <c r="E76" s="85"/>
      <c r="F76" s="85"/>
    </row>
    <row r="77" spans="1:6" s="55" customFormat="1" x14ac:dyDescent="0.25">
      <c r="A77" s="30" t="s">
        <v>7</v>
      </c>
      <c r="B77" s="13"/>
      <c r="C77" s="54"/>
      <c r="D77" s="88"/>
      <c r="E77" s="88"/>
      <c r="F77" s="54"/>
    </row>
    <row r="78" spans="1:6" s="55" customFormat="1" x14ac:dyDescent="0.25">
      <c r="A78" s="40" t="s">
        <v>93</v>
      </c>
      <c r="B78" s="13"/>
      <c r="C78" s="54"/>
      <c r="D78" s="88"/>
      <c r="E78" s="88"/>
      <c r="F78" s="54"/>
    </row>
    <row r="79" spans="1:6" s="55" customFormat="1" x14ac:dyDescent="0.25">
      <c r="A79" s="1" t="s">
        <v>21</v>
      </c>
      <c r="B79" s="17">
        <v>300</v>
      </c>
      <c r="C79" s="45">
        <v>135</v>
      </c>
      <c r="D79" s="47">
        <v>6</v>
      </c>
      <c r="E79" s="88">
        <f>ROUND(F79/B79,0)</f>
        <v>3</v>
      </c>
      <c r="F79" s="2">
        <f>ROUND(C79*D79,0)</f>
        <v>810</v>
      </c>
    </row>
    <row r="80" spans="1:6" s="55" customFormat="1" x14ac:dyDescent="0.25">
      <c r="A80" s="1" t="s">
        <v>24</v>
      </c>
      <c r="B80" s="17">
        <v>300</v>
      </c>
      <c r="C80" s="45">
        <v>90</v>
      </c>
      <c r="D80" s="47">
        <v>9.6</v>
      </c>
      <c r="E80" s="88">
        <f>ROUND(F80/B80,0)</f>
        <v>3</v>
      </c>
      <c r="F80" s="2">
        <f>ROUND(C80*D80,0)</f>
        <v>864</v>
      </c>
    </row>
    <row r="81" spans="1:6" s="55" customFormat="1" x14ac:dyDescent="0.25">
      <c r="A81" s="1" t="s">
        <v>19</v>
      </c>
      <c r="B81" s="17">
        <v>300</v>
      </c>
      <c r="C81" s="45">
        <v>159</v>
      </c>
      <c r="D81" s="47">
        <v>11</v>
      </c>
      <c r="E81" s="88">
        <f>ROUND(F81/B81,0)</f>
        <v>6</v>
      </c>
      <c r="F81" s="2">
        <f>ROUND(C81*D81,0)</f>
        <v>1749</v>
      </c>
    </row>
    <row r="82" spans="1:6" s="55" customFormat="1" x14ac:dyDescent="0.25">
      <c r="A82" s="1" t="s">
        <v>10</v>
      </c>
      <c r="B82" s="17">
        <v>300</v>
      </c>
      <c r="C82" s="45">
        <v>376</v>
      </c>
      <c r="D82" s="47">
        <v>9</v>
      </c>
      <c r="E82" s="88">
        <f>ROUND(F82/B82,0)</f>
        <v>11</v>
      </c>
      <c r="F82" s="2">
        <f>ROUND(C82*D82,0)</f>
        <v>3384</v>
      </c>
    </row>
    <row r="83" spans="1:6" s="55" customFormat="1" x14ac:dyDescent="0.25">
      <c r="A83" s="30" t="s">
        <v>9</v>
      </c>
      <c r="B83" s="768"/>
      <c r="C83" s="78">
        <f>SUM(C79:C82)</f>
        <v>760</v>
      </c>
      <c r="D83" s="96">
        <f>F83/C83</f>
        <v>8.9565789473684205</v>
      </c>
      <c r="E83" s="421">
        <f>SUM(E79:E82)</f>
        <v>23</v>
      </c>
      <c r="F83" s="78">
        <f>SUM(F79:F82)</f>
        <v>6807</v>
      </c>
    </row>
    <row r="84" spans="1:6" s="55" customFormat="1" x14ac:dyDescent="0.25">
      <c r="A84" s="40" t="s">
        <v>71</v>
      </c>
      <c r="B84" s="13"/>
      <c r="C84" s="59"/>
      <c r="D84" s="96"/>
      <c r="E84" s="420"/>
      <c r="F84" s="59"/>
    </row>
    <row r="85" spans="1:6" s="55" customFormat="1" ht="20.25" customHeight="1" x14ac:dyDescent="0.25">
      <c r="A85" s="25" t="s">
        <v>86</v>
      </c>
      <c r="B85" s="52">
        <v>240</v>
      </c>
      <c r="C85" s="45">
        <v>40</v>
      </c>
      <c r="D85" s="47">
        <v>3</v>
      </c>
      <c r="E85" s="88">
        <f>ROUND(F85/B85,0)</f>
        <v>1</v>
      </c>
      <c r="F85" s="2">
        <f>ROUND(C85*D85,0)</f>
        <v>120</v>
      </c>
    </row>
    <row r="86" spans="1:6" s="55" customFormat="1" x14ac:dyDescent="0.25">
      <c r="A86" s="25" t="s">
        <v>35</v>
      </c>
      <c r="B86" s="17">
        <v>240</v>
      </c>
      <c r="C86" s="45">
        <v>453</v>
      </c>
      <c r="D86" s="47">
        <v>8</v>
      </c>
      <c r="E86" s="88">
        <f>ROUND(F86/B86,0)</f>
        <v>15</v>
      </c>
      <c r="F86" s="2">
        <f>ROUND(C86*D86,0)</f>
        <v>3624</v>
      </c>
    </row>
    <row r="87" spans="1:6" s="55" customFormat="1" ht="15" customHeight="1" x14ac:dyDescent="0.25">
      <c r="A87" s="539" t="s">
        <v>10</v>
      </c>
      <c r="B87" s="17">
        <v>240</v>
      </c>
      <c r="C87" s="45">
        <v>80</v>
      </c>
      <c r="D87" s="47">
        <v>3</v>
      </c>
      <c r="E87" s="88">
        <f>ROUND(F87/B87,0)</f>
        <v>1</v>
      </c>
      <c r="F87" s="2">
        <f>ROUND(C87*D87,0)</f>
        <v>240</v>
      </c>
    </row>
    <row r="88" spans="1:6" s="55" customFormat="1" x14ac:dyDescent="0.25">
      <c r="A88" s="30" t="s">
        <v>94</v>
      </c>
      <c r="B88" s="769"/>
      <c r="C88" s="34">
        <f>SUM(C85:C87)</f>
        <v>573</v>
      </c>
      <c r="D88" s="96">
        <f>F88/C88</f>
        <v>6.9528795811518327</v>
      </c>
      <c r="E88" s="91">
        <f>SUM(E85:E87)</f>
        <v>17</v>
      </c>
      <c r="F88" s="91">
        <f>SUM(F85:F87)</f>
        <v>3984</v>
      </c>
    </row>
    <row r="89" spans="1:6" ht="29.25" x14ac:dyDescent="0.25">
      <c r="A89" s="26" t="s">
        <v>89</v>
      </c>
      <c r="B89" s="17"/>
      <c r="C89" s="59">
        <f>C88+C83</f>
        <v>1333</v>
      </c>
      <c r="D89" s="96">
        <f>F89/C89</f>
        <v>8.0952738184546131</v>
      </c>
      <c r="E89" s="59">
        <f>E83+E88</f>
        <v>40</v>
      </c>
      <c r="F89" s="59">
        <f>F83+F88</f>
        <v>10791</v>
      </c>
    </row>
    <row r="90" spans="1:6" x14ac:dyDescent="0.25">
      <c r="A90" s="95" t="s">
        <v>108</v>
      </c>
      <c r="B90" s="17"/>
      <c r="C90" s="59">
        <f>C91</f>
        <v>7300</v>
      </c>
      <c r="D90" s="96"/>
      <c r="E90" s="59"/>
      <c r="F90" s="59"/>
    </row>
    <row r="91" spans="1:6" x14ac:dyDescent="0.25">
      <c r="A91" s="102" t="s">
        <v>105</v>
      </c>
      <c r="B91" s="103"/>
      <c r="C91" s="45">
        <f>C92+C93</f>
        <v>7300</v>
      </c>
      <c r="D91" s="103"/>
      <c r="E91" s="103"/>
      <c r="F91" s="103"/>
    </row>
    <row r="92" spans="1:6" x14ac:dyDescent="0.25">
      <c r="A92" s="104" t="s">
        <v>106</v>
      </c>
      <c r="B92" s="103"/>
      <c r="C92" s="45">
        <v>7295</v>
      </c>
      <c r="D92" s="103"/>
      <c r="E92" s="103"/>
      <c r="F92" s="103"/>
    </row>
    <row r="93" spans="1:6" ht="30.75" thickBot="1" x14ac:dyDescent="0.3">
      <c r="A93" s="126" t="s">
        <v>107</v>
      </c>
      <c r="B93" s="127"/>
      <c r="C93" s="424">
        <v>5</v>
      </c>
      <c r="D93" s="127"/>
      <c r="E93" s="127"/>
      <c r="F93" s="127"/>
    </row>
    <row r="94" spans="1:6" x14ac:dyDescent="0.25">
      <c r="A94" s="116"/>
      <c r="B94" s="117"/>
      <c r="C94" s="422"/>
      <c r="D94" s="117"/>
      <c r="E94" s="117"/>
      <c r="F94" s="117"/>
    </row>
    <row r="584" spans="5:5" ht="27.75" customHeight="1" x14ac:dyDescent="0.25">
      <c r="E584" s="81">
        <f>E586+E587+E591+E590+E592+E585</f>
        <v>2000</v>
      </c>
    </row>
    <row r="585" spans="5:5" ht="15" customHeight="1" x14ac:dyDescent="0.25">
      <c r="E585" s="81">
        <v>2000</v>
      </c>
    </row>
    <row r="609" spans="5:5" ht="15" customHeight="1" x14ac:dyDescent="0.25">
      <c r="E609" s="81">
        <v>500</v>
      </c>
    </row>
    <row r="1359" spans="5:5" ht="15" customHeight="1" x14ac:dyDescent="0.25">
      <c r="E1359" s="81">
        <f>SUM(E867,E382,E585)</f>
        <v>2000</v>
      </c>
    </row>
  </sheetData>
  <autoFilter ref="A9:F94"/>
  <sortState ref="A72:F74">
    <sortCondition ref="A72:A74"/>
  </sortState>
  <mergeCells count="8">
    <mergeCell ref="E1:F1"/>
    <mergeCell ref="D2:F2"/>
    <mergeCell ref="A4:F5"/>
    <mergeCell ref="B6:B8"/>
    <mergeCell ref="D6:D8"/>
    <mergeCell ref="E6:E8"/>
    <mergeCell ref="C6:C8"/>
    <mergeCell ref="F6:F8"/>
  </mergeCells>
  <pageMargins left="0.78740157480314965" right="0" top="0.15748031496062992" bottom="0.1574803149606299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Q1383"/>
  <sheetViews>
    <sheetView zoomScale="90" zoomScaleNormal="90" zoomScaleSheetLayoutView="70" workbookViewId="0">
      <pane xSplit="1" ySplit="9" topLeftCell="B10" activePane="bottomRight" state="frozen"/>
      <selection activeCell="J30" sqref="J30"/>
      <selection pane="topRight" activeCell="J30" sqref="J30"/>
      <selection pane="bottomLeft" activeCell="J30" sqref="J30"/>
      <selection pane="bottomRight" activeCell="J30" sqref="J30"/>
    </sheetView>
  </sheetViews>
  <sheetFormatPr defaultColWidth="11.42578125" defaultRowHeight="15" x14ac:dyDescent="0.25"/>
  <cols>
    <col min="1" max="1" width="43.7109375" style="81" customWidth="1"/>
    <col min="2" max="2" width="10.28515625" style="81" customWidth="1"/>
    <col min="3" max="3" width="12.7109375" style="81" customWidth="1"/>
    <col min="4" max="4" width="11.42578125" style="120" customWidth="1"/>
    <col min="5" max="5" width="14.28515625" style="120" customWidth="1"/>
    <col min="6" max="6" width="10.85546875" style="120" customWidth="1"/>
    <col min="7" max="7" width="3.85546875" style="81" customWidth="1"/>
    <col min="8" max="16384" width="11.42578125" style="81"/>
  </cols>
  <sheetData>
    <row r="1" spans="1:147" ht="15" customHeight="1" x14ac:dyDescent="0.25">
      <c r="D1" s="132"/>
      <c r="E1" s="776" t="s">
        <v>435</v>
      </c>
      <c r="F1" s="776"/>
    </row>
    <row r="2" spans="1:147" ht="30" customHeight="1" x14ac:dyDescent="0.25">
      <c r="D2" s="777" t="s">
        <v>436</v>
      </c>
      <c r="E2" s="777"/>
      <c r="F2" s="777"/>
    </row>
    <row r="3" spans="1:147" x14ac:dyDescent="0.25">
      <c r="E3" s="121"/>
    </row>
    <row r="4" spans="1:147" ht="15" customHeight="1" x14ac:dyDescent="0.25">
      <c r="A4" s="778" t="s">
        <v>337</v>
      </c>
      <c r="B4" s="779"/>
      <c r="C4" s="779"/>
      <c r="D4" s="779"/>
      <c r="E4" s="779"/>
      <c r="F4" s="779"/>
    </row>
    <row r="5" spans="1:147" ht="15.75" customHeight="1" thickBot="1" x14ac:dyDescent="0.3">
      <c r="A5" s="779"/>
      <c r="B5" s="779"/>
      <c r="C5" s="779"/>
      <c r="D5" s="779"/>
      <c r="E5" s="779"/>
      <c r="F5" s="779"/>
    </row>
    <row r="6" spans="1:147" ht="36" customHeight="1" x14ac:dyDescent="0.3">
      <c r="A6" s="4" t="s">
        <v>109</v>
      </c>
      <c r="B6" s="783" t="s">
        <v>1</v>
      </c>
      <c r="C6" s="794" t="s">
        <v>144</v>
      </c>
      <c r="D6" s="789" t="s">
        <v>0</v>
      </c>
      <c r="E6" s="783" t="s">
        <v>2</v>
      </c>
      <c r="F6" s="786" t="s">
        <v>115</v>
      </c>
    </row>
    <row r="7" spans="1:147" ht="24" customHeight="1" x14ac:dyDescent="0.3">
      <c r="A7" s="5"/>
      <c r="B7" s="784"/>
      <c r="C7" s="795"/>
      <c r="D7" s="790"/>
      <c r="E7" s="784"/>
      <c r="F7" s="787"/>
    </row>
    <row r="8" spans="1:147" ht="44.25" customHeight="1" thickBot="1" x14ac:dyDescent="0.3">
      <c r="A8" s="6" t="s">
        <v>3</v>
      </c>
      <c r="B8" s="785"/>
      <c r="C8" s="796"/>
      <c r="D8" s="791"/>
      <c r="E8" s="785"/>
      <c r="F8" s="788"/>
    </row>
    <row r="9" spans="1:147" ht="15.75" thickBot="1" x14ac:dyDescent="0.3">
      <c r="A9" s="7">
        <v>1</v>
      </c>
      <c r="B9" s="8">
        <v>2</v>
      </c>
      <c r="C9" s="7">
        <v>3</v>
      </c>
      <c r="D9" s="8">
        <v>4</v>
      </c>
      <c r="E9" s="7">
        <v>5</v>
      </c>
      <c r="F9" s="8">
        <v>6</v>
      </c>
    </row>
    <row r="10" spans="1:147" s="50" customFormat="1" ht="31.5" x14ac:dyDescent="0.25">
      <c r="A10" s="763" t="s">
        <v>329</v>
      </c>
      <c r="B10" s="118"/>
      <c r="C10" s="118"/>
      <c r="D10" s="118"/>
      <c r="E10" s="118"/>
      <c r="F10" s="118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</row>
    <row r="11" spans="1:147" s="50" customFormat="1" x14ac:dyDescent="0.25">
      <c r="A11" s="93" t="s">
        <v>4</v>
      </c>
      <c r="B11" s="66"/>
      <c r="C11" s="54"/>
      <c r="D11" s="54"/>
      <c r="E11" s="54"/>
      <c r="F11" s="54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</row>
    <row r="12" spans="1:147" s="50" customFormat="1" x14ac:dyDescent="0.25">
      <c r="A12" s="46" t="s">
        <v>21</v>
      </c>
      <c r="B12" s="52">
        <v>340</v>
      </c>
      <c r="C12" s="54"/>
      <c r="D12" s="770">
        <v>5.5</v>
      </c>
      <c r="E12" s="88">
        <f t="shared" ref="E12:E21" si="0">ROUND(F12/B12,0)</f>
        <v>0</v>
      </c>
      <c r="F12" s="2">
        <f t="shared" ref="F12:F21" si="1">ROUND(C12*D12,0)</f>
        <v>0</v>
      </c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</row>
    <row r="13" spans="1:147" s="50" customFormat="1" x14ac:dyDescent="0.25">
      <c r="A13" s="46" t="s">
        <v>432</v>
      </c>
      <c r="B13" s="52">
        <v>340</v>
      </c>
      <c r="C13" s="54">
        <v>355</v>
      </c>
      <c r="D13" s="770">
        <v>14</v>
      </c>
      <c r="E13" s="88">
        <f t="shared" si="0"/>
        <v>15</v>
      </c>
      <c r="F13" s="2">
        <f>ROUND(C13*D13,0)</f>
        <v>4970</v>
      </c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</row>
    <row r="14" spans="1:147" s="50" customFormat="1" x14ac:dyDescent="0.25">
      <c r="A14" s="46" t="s">
        <v>26</v>
      </c>
      <c r="B14" s="52">
        <v>300</v>
      </c>
      <c r="C14" s="54"/>
      <c r="D14" s="771">
        <v>5.6</v>
      </c>
      <c r="E14" s="88">
        <f t="shared" si="0"/>
        <v>0</v>
      </c>
      <c r="F14" s="2">
        <f t="shared" si="1"/>
        <v>0</v>
      </c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</row>
    <row r="15" spans="1:147" s="50" customFormat="1" x14ac:dyDescent="0.25">
      <c r="A15" s="46" t="s">
        <v>75</v>
      </c>
      <c r="B15" s="52">
        <v>270</v>
      </c>
      <c r="C15" s="54">
        <v>1049</v>
      </c>
      <c r="D15" s="771">
        <v>7.5</v>
      </c>
      <c r="E15" s="88">
        <f t="shared" si="0"/>
        <v>29</v>
      </c>
      <c r="F15" s="2">
        <f t="shared" si="1"/>
        <v>7868</v>
      </c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</row>
    <row r="16" spans="1:147" s="50" customFormat="1" x14ac:dyDescent="0.25">
      <c r="A16" s="46" t="s">
        <v>20</v>
      </c>
      <c r="B16" s="52">
        <v>340</v>
      </c>
      <c r="C16" s="54">
        <f>351-25</f>
        <v>326</v>
      </c>
      <c r="D16" s="771">
        <v>10.5</v>
      </c>
      <c r="E16" s="88">
        <f t="shared" si="0"/>
        <v>10</v>
      </c>
      <c r="F16" s="2">
        <f t="shared" si="1"/>
        <v>3423</v>
      </c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</row>
    <row r="17" spans="1:147" s="50" customFormat="1" x14ac:dyDescent="0.25">
      <c r="A17" s="46" t="s">
        <v>55</v>
      </c>
      <c r="B17" s="52">
        <v>340</v>
      </c>
      <c r="C17" s="54">
        <f>753-78</f>
        <v>675</v>
      </c>
      <c r="D17" s="770">
        <v>10.8</v>
      </c>
      <c r="E17" s="88">
        <f t="shared" si="0"/>
        <v>21</v>
      </c>
      <c r="F17" s="2">
        <f t="shared" si="1"/>
        <v>7290</v>
      </c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</row>
    <row r="18" spans="1:147" s="50" customFormat="1" x14ac:dyDescent="0.25">
      <c r="A18" s="46" t="s">
        <v>22</v>
      </c>
      <c r="B18" s="52">
        <v>340</v>
      </c>
      <c r="C18" s="54"/>
      <c r="D18" s="771">
        <v>7.7</v>
      </c>
      <c r="E18" s="88">
        <f t="shared" si="0"/>
        <v>0</v>
      </c>
      <c r="F18" s="2">
        <f t="shared" si="1"/>
        <v>0</v>
      </c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</row>
    <row r="19" spans="1:147" s="50" customFormat="1" x14ac:dyDescent="0.25">
      <c r="A19" s="46" t="s">
        <v>24</v>
      </c>
      <c r="B19" s="52">
        <v>320</v>
      </c>
      <c r="C19" s="54">
        <f>552-1-3</f>
        <v>548</v>
      </c>
      <c r="D19" s="771">
        <v>9</v>
      </c>
      <c r="E19" s="88">
        <f t="shared" si="0"/>
        <v>15</v>
      </c>
      <c r="F19" s="2">
        <f t="shared" si="1"/>
        <v>4932</v>
      </c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</row>
    <row r="20" spans="1:147" s="50" customFormat="1" x14ac:dyDescent="0.25">
      <c r="A20" s="46" t="s">
        <v>19</v>
      </c>
      <c r="B20" s="52">
        <v>340</v>
      </c>
      <c r="C20" s="54">
        <f>1757-1-5-355</f>
        <v>1396</v>
      </c>
      <c r="D20" s="771">
        <v>10.7</v>
      </c>
      <c r="E20" s="88">
        <f t="shared" si="0"/>
        <v>44</v>
      </c>
      <c r="F20" s="2">
        <f t="shared" si="1"/>
        <v>14937</v>
      </c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</row>
    <row r="21" spans="1:147" s="50" customFormat="1" x14ac:dyDescent="0.25">
      <c r="A21" s="46" t="s">
        <v>10</v>
      </c>
      <c r="B21" s="52">
        <v>340</v>
      </c>
      <c r="C21" s="54">
        <v>933</v>
      </c>
      <c r="D21" s="771">
        <v>8.5</v>
      </c>
      <c r="E21" s="88">
        <f t="shared" si="0"/>
        <v>23</v>
      </c>
      <c r="F21" s="2">
        <f t="shared" si="1"/>
        <v>7931</v>
      </c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</row>
    <row r="22" spans="1:147" s="50" customFormat="1" x14ac:dyDescent="0.25">
      <c r="A22" s="21" t="s">
        <v>5</v>
      </c>
      <c r="B22" s="63"/>
      <c r="C22" s="114">
        <f>SUM(C12:C21)</f>
        <v>5282</v>
      </c>
      <c r="D22" s="96">
        <f>F22/C22</f>
        <v>9.7218856493752366</v>
      </c>
      <c r="E22" s="97">
        <f>SUM(E12:E21)</f>
        <v>157</v>
      </c>
      <c r="F22" s="59">
        <f>SUM(F12:F21)</f>
        <v>51351</v>
      </c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</row>
    <row r="23" spans="1:147" s="50" customFormat="1" x14ac:dyDescent="0.25">
      <c r="A23" s="21"/>
      <c r="B23" s="63"/>
      <c r="C23" s="97"/>
      <c r="D23" s="96"/>
      <c r="E23" s="97"/>
      <c r="F23" s="59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</row>
    <row r="24" spans="1:147" s="50" customFormat="1" ht="15.75" x14ac:dyDescent="0.25">
      <c r="A24" s="677" t="s">
        <v>6</v>
      </c>
      <c r="B24" s="54"/>
      <c r="C24" s="54"/>
      <c r="D24" s="54"/>
      <c r="E24" s="54"/>
      <c r="F24" s="54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</row>
    <row r="25" spans="1:147" s="50" customFormat="1" ht="15.75" x14ac:dyDescent="0.25">
      <c r="A25" s="119" t="s">
        <v>250</v>
      </c>
      <c r="B25" s="54"/>
      <c r="C25" s="54"/>
      <c r="D25" s="54"/>
      <c r="E25" s="54"/>
      <c r="F25" s="54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</row>
    <row r="26" spans="1:147" s="55" customFormat="1" x14ac:dyDescent="0.25">
      <c r="A26" s="14" t="s">
        <v>192</v>
      </c>
      <c r="B26" s="12"/>
      <c r="C26" s="77">
        <f>C28+C29+C30+C31</f>
        <v>91370</v>
      </c>
      <c r="D26" s="77"/>
      <c r="E26" s="77"/>
      <c r="F26" s="43"/>
    </row>
    <row r="27" spans="1:147" s="55" customFormat="1" x14ac:dyDescent="0.25">
      <c r="A27" s="18" t="s">
        <v>116</v>
      </c>
      <c r="B27" s="59"/>
      <c r="C27" s="54"/>
      <c r="D27" s="62"/>
      <c r="E27" s="62"/>
      <c r="F27" s="43"/>
    </row>
    <row r="28" spans="1:147" s="55" customFormat="1" ht="30" x14ac:dyDescent="0.25">
      <c r="A28" s="16" t="s">
        <v>397</v>
      </c>
      <c r="B28" s="59"/>
      <c r="C28" s="11">
        <v>25410</v>
      </c>
      <c r="D28" s="62"/>
      <c r="E28" s="62"/>
      <c r="F28" s="43"/>
    </row>
    <row r="29" spans="1:147" s="55" customFormat="1" ht="60" x14ac:dyDescent="0.25">
      <c r="A29" s="15" t="s">
        <v>398</v>
      </c>
      <c r="B29" s="59"/>
      <c r="C29" s="10">
        <v>21464</v>
      </c>
      <c r="D29" s="54"/>
      <c r="E29" s="54"/>
      <c r="F29" s="54"/>
    </row>
    <row r="30" spans="1:147" s="50" customFormat="1" ht="45" x14ac:dyDescent="0.25">
      <c r="A30" s="15" t="s">
        <v>399</v>
      </c>
      <c r="B30" s="54"/>
      <c r="C30" s="10">
        <v>38496</v>
      </c>
      <c r="D30" s="54"/>
      <c r="E30" s="54"/>
      <c r="F30" s="54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</row>
    <row r="31" spans="1:147" s="50" customFormat="1" ht="75" x14ac:dyDescent="0.25">
      <c r="A31" s="15" t="s">
        <v>400</v>
      </c>
      <c r="B31" s="54"/>
      <c r="C31" s="10">
        <v>6000</v>
      </c>
      <c r="D31" s="60"/>
      <c r="E31" s="60"/>
      <c r="F31" s="60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</row>
    <row r="32" spans="1:147" s="50" customFormat="1" x14ac:dyDescent="0.25">
      <c r="A32" s="14" t="s">
        <v>90</v>
      </c>
      <c r="B32" s="54"/>
      <c r="C32" s="11">
        <f>C33+C34+C35</f>
        <v>76612</v>
      </c>
      <c r="D32" s="60"/>
      <c r="E32" s="60"/>
      <c r="F32" s="60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</row>
    <row r="33" spans="1:147" s="50" customFormat="1" x14ac:dyDescent="0.25">
      <c r="A33" s="15" t="s">
        <v>145</v>
      </c>
      <c r="B33" s="54"/>
      <c r="C33" s="10">
        <v>72366</v>
      </c>
      <c r="D33" s="60"/>
      <c r="E33" s="60"/>
      <c r="F33" s="60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81"/>
      <c r="DC33" s="81"/>
      <c r="DD33" s="81"/>
      <c r="DE33" s="81"/>
      <c r="DF33" s="81"/>
      <c r="DG33" s="81"/>
      <c r="DH33" s="81"/>
      <c r="DI33" s="81"/>
      <c r="DJ33" s="81"/>
      <c r="DK33" s="81"/>
      <c r="DL33" s="81"/>
      <c r="DM33" s="81"/>
      <c r="DN33" s="81"/>
      <c r="DO33" s="81"/>
      <c r="DP33" s="81"/>
      <c r="DQ33" s="81"/>
      <c r="DR33" s="81"/>
      <c r="DS33" s="81"/>
      <c r="DT33" s="81"/>
      <c r="DU33" s="81"/>
      <c r="DV33" s="81"/>
      <c r="DW33" s="81"/>
      <c r="DX33" s="81"/>
      <c r="DY33" s="81"/>
      <c r="DZ33" s="81"/>
      <c r="EA33" s="81"/>
      <c r="EB33" s="81"/>
      <c r="EC33" s="81"/>
      <c r="ED33" s="81"/>
      <c r="EE33" s="81"/>
      <c r="EF33" s="81"/>
      <c r="EG33" s="81"/>
      <c r="EH33" s="81"/>
      <c r="EI33" s="81"/>
      <c r="EJ33" s="81"/>
      <c r="EK33" s="81"/>
      <c r="EL33" s="81"/>
      <c r="EM33" s="81"/>
      <c r="EN33" s="81"/>
      <c r="EO33" s="81"/>
      <c r="EP33" s="81"/>
      <c r="EQ33" s="81"/>
    </row>
    <row r="34" spans="1:147" s="50" customFormat="1" ht="45" x14ac:dyDescent="0.25">
      <c r="A34" s="15" t="s">
        <v>414</v>
      </c>
      <c r="B34" s="54"/>
      <c r="C34" s="10">
        <v>2635</v>
      </c>
      <c r="D34" s="60"/>
      <c r="E34" s="60"/>
      <c r="F34" s="60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  <c r="CO34" s="81"/>
      <c r="CP34" s="81"/>
      <c r="CQ34" s="81"/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81"/>
      <c r="DC34" s="81"/>
      <c r="DD34" s="81"/>
      <c r="DE34" s="81"/>
      <c r="DF34" s="81"/>
      <c r="DG34" s="81"/>
      <c r="DH34" s="81"/>
      <c r="DI34" s="81"/>
      <c r="DJ34" s="81"/>
      <c r="DK34" s="81"/>
      <c r="DL34" s="81"/>
      <c r="DM34" s="81"/>
      <c r="DN34" s="81"/>
      <c r="DO34" s="81"/>
      <c r="DP34" s="81"/>
      <c r="DQ34" s="81"/>
      <c r="DR34" s="81"/>
      <c r="DS34" s="81"/>
      <c r="DT34" s="81"/>
      <c r="DU34" s="81"/>
      <c r="DV34" s="81"/>
      <c r="DW34" s="81"/>
      <c r="DX34" s="81"/>
      <c r="DY34" s="81"/>
      <c r="DZ34" s="81"/>
      <c r="EA34" s="81"/>
      <c r="EB34" s="81"/>
      <c r="EC34" s="81"/>
      <c r="ED34" s="81"/>
      <c r="EE34" s="81"/>
      <c r="EF34" s="81"/>
      <c r="EG34" s="81"/>
      <c r="EH34" s="81"/>
      <c r="EI34" s="81"/>
      <c r="EJ34" s="81"/>
      <c r="EK34" s="81"/>
      <c r="EL34" s="81"/>
      <c r="EM34" s="81"/>
      <c r="EN34" s="81"/>
      <c r="EO34" s="81"/>
      <c r="EP34" s="81"/>
      <c r="EQ34" s="81"/>
    </row>
    <row r="35" spans="1:147" s="50" customFormat="1" ht="60" x14ac:dyDescent="0.25">
      <c r="A35" s="15" t="s">
        <v>421</v>
      </c>
      <c r="B35" s="54"/>
      <c r="C35" s="10">
        <v>1611</v>
      </c>
      <c r="D35" s="60"/>
      <c r="E35" s="60"/>
      <c r="F35" s="60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</row>
    <row r="36" spans="1:147" s="50" customFormat="1" x14ac:dyDescent="0.25">
      <c r="A36" s="33" t="s">
        <v>98</v>
      </c>
      <c r="B36" s="54"/>
      <c r="C36" s="10"/>
      <c r="D36" s="60"/>
      <c r="E36" s="60"/>
      <c r="F36" s="60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</row>
    <row r="37" spans="1:147" s="50" customFormat="1" ht="75" x14ac:dyDescent="0.25">
      <c r="A37" s="15" t="s">
        <v>420</v>
      </c>
      <c r="B37" s="54"/>
      <c r="C37" s="10">
        <v>8056</v>
      </c>
      <c r="D37" s="60"/>
      <c r="E37" s="60"/>
      <c r="F37" s="60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</row>
    <row r="38" spans="1:147" s="98" customFormat="1" ht="43.5" x14ac:dyDescent="0.25">
      <c r="A38" s="14" t="s">
        <v>333</v>
      </c>
      <c r="B38" s="13"/>
      <c r="C38" s="29">
        <f>C39+C47</f>
        <v>30043</v>
      </c>
      <c r="D38" s="85"/>
      <c r="E38" s="85"/>
      <c r="F38" s="85"/>
    </row>
    <row r="39" spans="1:147" s="98" customFormat="1" ht="30" x14ac:dyDescent="0.25">
      <c r="A39" s="16" t="s">
        <v>193</v>
      </c>
      <c r="B39" s="13"/>
      <c r="C39" s="29">
        <f>C40+C42+C44+C45</f>
        <v>14597</v>
      </c>
      <c r="D39" s="85"/>
      <c r="E39" s="85"/>
      <c r="F39" s="85"/>
    </row>
    <row r="40" spans="1:147" s="98" customFormat="1" ht="30" x14ac:dyDescent="0.25">
      <c r="A40" s="15" t="s">
        <v>334</v>
      </c>
      <c r="B40" s="13"/>
      <c r="C40" s="39">
        <v>12455</v>
      </c>
      <c r="D40" s="85"/>
      <c r="E40" s="85"/>
      <c r="F40" s="85"/>
    </row>
    <row r="41" spans="1:147" s="98" customFormat="1" ht="45" x14ac:dyDescent="0.25">
      <c r="A41" s="15" t="s">
        <v>404</v>
      </c>
      <c r="B41" s="13"/>
      <c r="C41" s="39">
        <v>200</v>
      </c>
      <c r="D41" s="85"/>
      <c r="E41" s="85"/>
      <c r="F41" s="85"/>
    </row>
    <row r="42" spans="1:147" s="98" customFormat="1" ht="30" x14ac:dyDescent="0.25">
      <c r="A42" s="15" t="s">
        <v>380</v>
      </c>
      <c r="B42" s="13"/>
      <c r="C42" s="53">
        <v>1892</v>
      </c>
      <c r="D42" s="56"/>
      <c r="E42" s="56"/>
      <c r="F42" s="74"/>
    </row>
    <row r="43" spans="1:147" s="98" customFormat="1" ht="30" x14ac:dyDescent="0.25">
      <c r="A43" s="15" t="s">
        <v>381</v>
      </c>
      <c r="B43" s="13"/>
      <c r="C43" s="39"/>
      <c r="D43" s="85"/>
      <c r="E43" s="85"/>
      <c r="F43" s="85"/>
    </row>
    <row r="44" spans="1:147" s="98" customFormat="1" ht="45" x14ac:dyDescent="0.25">
      <c r="A44" s="15" t="s">
        <v>382</v>
      </c>
      <c r="B44" s="13"/>
      <c r="C44" s="39">
        <v>50</v>
      </c>
      <c r="D44" s="85"/>
      <c r="E44" s="85"/>
      <c r="F44" s="85"/>
    </row>
    <row r="45" spans="1:147" s="98" customFormat="1" ht="30" x14ac:dyDescent="0.25">
      <c r="A45" s="15" t="s">
        <v>383</v>
      </c>
      <c r="B45" s="13"/>
      <c r="C45" s="39">
        <v>200</v>
      </c>
      <c r="D45" s="85"/>
      <c r="E45" s="85"/>
      <c r="F45" s="85"/>
    </row>
    <row r="46" spans="1:147" s="98" customFormat="1" ht="45" x14ac:dyDescent="0.25">
      <c r="A46" s="15" t="s">
        <v>405</v>
      </c>
      <c r="B46" s="13"/>
      <c r="C46" s="39">
        <v>10</v>
      </c>
      <c r="D46" s="85"/>
      <c r="E46" s="85"/>
      <c r="F46" s="85"/>
    </row>
    <row r="47" spans="1:147" s="98" customFormat="1" ht="45" x14ac:dyDescent="0.25">
      <c r="A47" s="16" t="s">
        <v>194</v>
      </c>
      <c r="B47" s="13"/>
      <c r="C47" s="38">
        <f>C48+C50+C51</f>
        <v>15446</v>
      </c>
      <c r="D47" s="85"/>
      <c r="E47" s="85"/>
      <c r="F47" s="85"/>
    </row>
    <row r="48" spans="1:147" s="98" customFormat="1" ht="30" x14ac:dyDescent="0.25">
      <c r="A48" s="15" t="s">
        <v>384</v>
      </c>
      <c r="B48" s="13"/>
      <c r="C48" s="39">
        <v>3276</v>
      </c>
      <c r="D48" s="85"/>
      <c r="E48" s="85"/>
      <c r="F48" s="85"/>
    </row>
    <row r="49" spans="1:6" s="98" customFormat="1" ht="60" x14ac:dyDescent="0.25">
      <c r="A49" s="15" t="s">
        <v>406</v>
      </c>
      <c r="B49" s="13"/>
      <c r="C49" s="39">
        <v>100</v>
      </c>
      <c r="D49" s="85"/>
      <c r="E49" s="85"/>
      <c r="F49" s="85"/>
    </row>
    <row r="50" spans="1:6" s="98" customFormat="1" ht="60" x14ac:dyDescent="0.25">
      <c r="A50" s="15" t="s">
        <v>385</v>
      </c>
      <c r="B50" s="13"/>
      <c r="C50" s="39">
        <v>8100</v>
      </c>
      <c r="D50" s="85"/>
      <c r="E50" s="85"/>
      <c r="F50" s="85"/>
    </row>
    <row r="51" spans="1:6" s="98" customFormat="1" ht="45" x14ac:dyDescent="0.25">
      <c r="A51" s="15" t="s">
        <v>386</v>
      </c>
      <c r="B51" s="13"/>
      <c r="C51" s="39">
        <v>4070</v>
      </c>
      <c r="D51" s="85"/>
      <c r="E51" s="85"/>
      <c r="F51" s="85"/>
    </row>
    <row r="52" spans="1:6" s="98" customFormat="1" x14ac:dyDescent="0.25">
      <c r="A52" s="14" t="s">
        <v>251</v>
      </c>
      <c r="B52" s="13"/>
      <c r="C52" s="38">
        <f>C54+C60+C61+C62*5</f>
        <v>4654.5</v>
      </c>
      <c r="D52" s="85"/>
      <c r="E52" s="85"/>
      <c r="F52" s="85"/>
    </row>
    <row r="53" spans="1:6" s="98" customFormat="1" x14ac:dyDescent="0.25">
      <c r="A53" s="15" t="s">
        <v>252</v>
      </c>
      <c r="B53" s="13"/>
      <c r="C53" s="39"/>
      <c r="D53" s="85"/>
      <c r="E53" s="85"/>
      <c r="F53" s="85"/>
    </row>
    <row r="54" spans="1:6" s="98" customFormat="1" ht="30" x14ac:dyDescent="0.25">
      <c r="A54" s="16" t="s">
        <v>388</v>
      </c>
      <c r="B54" s="13"/>
      <c r="C54" s="39">
        <f>C57+C55+C56/4</f>
        <v>597.5</v>
      </c>
      <c r="D54" s="85"/>
      <c r="E54" s="85"/>
      <c r="F54" s="85"/>
    </row>
    <row r="55" spans="1:6" s="55" customFormat="1" x14ac:dyDescent="0.25">
      <c r="A55" s="15" t="s">
        <v>389</v>
      </c>
      <c r="B55" s="59"/>
      <c r="C55" s="71"/>
      <c r="D55" s="62"/>
      <c r="E55" s="62"/>
      <c r="F55" s="43"/>
    </row>
    <row r="56" spans="1:6" s="98" customFormat="1" ht="30" x14ac:dyDescent="0.25">
      <c r="A56" s="15" t="s">
        <v>390</v>
      </c>
      <c r="B56" s="13"/>
      <c r="C56" s="39">
        <v>2390</v>
      </c>
      <c r="D56" s="85"/>
      <c r="E56" s="85"/>
      <c r="F56" s="85"/>
    </row>
    <row r="57" spans="1:6" s="98" customFormat="1" ht="45" x14ac:dyDescent="0.25">
      <c r="A57" s="15" t="s">
        <v>391</v>
      </c>
      <c r="B57" s="13"/>
      <c r="C57" s="39"/>
      <c r="D57" s="85"/>
      <c r="E57" s="85"/>
      <c r="F57" s="85"/>
    </row>
    <row r="58" spans="1:6" s="98" customFormat="1" ht="60" x14ac:dyDescent="0.25">
      <c r="A58" s="15" t="s">
        <v>392</v>
      </c>
      <c r="B58" s="13"/>
      <c r="C58" s="39"/>
      <c r="D58" s="85"/>
      <c r="E58" s="85"/>
      <c r="F58" s="85"/>
    </row>
    <row r="59" spans="1:6" s="98" customFormat="1" ht="45" x14ac:dyDescent="0.25">
      <c r="A59" s="18" t="s">
        <v>393</v>
      </c>
      <c r="B59" s="13"/>
      <c r="C59" s="39"/>
      <c r="D59" s="85"/>
      <c r="E59" s="85"/>
      <c r="F59" s="85"/>
    </row>
    <row r="60" spans="1:6" s="98" customFormat="1" ht="75" x14ac:dyDescent="0.25">
      <c r="A60" s="18" t="s">
        <v>394</v>
      </c>
      <c r="B60" s="13"/>
      <c r="C60" s="39">
        <v>120</v>
      </c>
      <c r="D60" s="85"/>
      <c r="E60" s="85"/>
      <c r="F60" s="85"/>
    </row>
    <row r="61" spans="1:6" s="98" customFormat="1" ht="30" x14ac:dyDescent="0.25">
      <c r="A61" s="18" t="s">
        <v>395</v>
      </c>
      <c r="B61" s="13"/>
      <c r="C61" s="39">
        <v>3737</v>
      </c>
      <c r="D61" s="85"/>
      <c r="E61" s="85"/>
      <c r="F61" s="85"/>
    </row>
    <row r="62" spans="1:6" s="98" customFormat="1" ht="28.5" x14ac:dyDescent="0.25">
      <c r="A62" s="617" t="s">
        <v>422</v>
      </c>
      <c r="B62" s="13"/>
      <c r="C62" s="38">
        <f>C63+C64</f>
        <v>40</v>
      </c>
      <c r="D62" s="85"/>
      <c r="E62" s="85"/>
      <c r="F62" s="85"/>
    </row>
    <row r="63" spans="1:6" s="98" customFormat="1" ht="21.75" customHeight="1" x14ac:dyDescent="0.25">
      <c r="A63" s="18" t="s">
        <v>423</v>
      </c>
      <c r="B63" s="13"/>
      <c r="C63" s="39">
        <v>20</v>
      </c>
      <c r="D63" s="85"/>
      <c r="E63" s="85"/>
      <c r="F63" s="85"/>
    </row>
    <row r="64" spans="1:6" s="98" customFormat="1" ht="15.75" customHeight="1" x14ac:dyDescent="0.25">
      <c r="A64" s="18" t="s">
        <v>424</v>
      </c>
      <c r="B64" s="13"/>
      <c r="C64" s="39">
        <v>20</v>
      </c>
      <c r="D64" s="85"/>
      <c r="E64" s="85"/>
      <c r="F64" s="85"/>
    </row>
    <row r="65" spans="1:6" s="98" customFormat="1" x14ac:dyDescent="0.25">
      <c r="A65" s="14" t="s">
        <v>253</v>
      </c>
      <c r="B65" s="13"/>
      <c r="C65" s="39">
        <f>C67+C66</f>
        <v>9425.2127659574471</v>
      </c>
      <c r="D65" s="85"/>
      <c r="E65" s="85"/>
      <c r="F65" s="85"/>
    </row>
    <row r="66" spans="1:6" s="98" customFormat="1" x14ac:dyDescent="0.25">
      <c r="A66" s="14" t="s">
        <v>254</v>
      </c>
      <c r="B66" s="13"/>
      <c r="C66" s="39"/>
      <c r="D66" s="85"/>
      <c r="E66" s="85"/>
      <c r="F66" s="85"/>
    </row>
    <row r="67" spans="1:6" s="98" customFormat="1" x14ac:dyDescent="0.25">
      <c r="A67" s="15" t="s">
        <v>255</v>
      </c>
      <c r="B67" s="13"/>
      <c r="C67" s="39">
        <f>C68/9.4</f>
        <v>9425.2127659574471</v>
      </c>
      <c r="D67" s="85"/>
      <c r="E67" s="85"/>
      <c r="F67" s="85"/>
    </row>
    <row r="68" spans="1:6" s="98" customFormat="1" x14ac:dyDescent="0.25">
      <c r="A68" s="42" t="s">
        <v>261</v>
      </c>
      <c r="B68" s="13"/>
      <c r="C68" s="39">
        <v>88597</v>
      </c>
      <c r="D68" s="85"/>
      <c r="E68" s="85"/>
      <c r="F68" s="85"/>
    </row>
    <row r="69" spans="1:6" s="98" customFormat="1" ht="29.25" x14ac:dyDescent="0.25">
      <c r="A69" s="57" t="s">
        <v>256</v>
      </c>
      <c r="B69" s="13"/>
      <c r="C69" s="39">
        <v>11000</v>
      </c>
      <c r="D69" s="85"/>
      <c r="E69" s="85"/>
      <c r="F69" s="85"/>
    </row>
    <row r="70" spans="1:6" s="98" customFormat="1" ht="30" x14ac:dyDescent="0.25">
      <c r="A70" s="19" t="s">
        <v>117</v>
      </c>
      <c r="B70" s="13"/>
      <c r="C70" s="39">
        <v>1000</v>
      </c>
      <c r="D70" s="85"/>
      <c r="E70" s="85"/>
      <c r="F70" s="85"/>
    </row>
    <row r="71" spans="1:6" s="98" customFormat="1" ht="72" x14ac:dyDescent="0.25">
      <c r="A71" s="57" t="s">
        <v>259</v>
      </c>
      <c r="B71" s="13"/>
      <c r="C71" s="39">
        <v>2200</v>
      </c>
      <c r="D71" s="85"/>
      <c r="E71" s="85"/>
      <c r="F71" s="85"/>
    </row>
    <row r="72" spans="1:6" s="98" customFormat="1" x14ac:dyDescent="0.25">
      <c r="A72" s="20" t="s">
        <v>165</v>
      </c>
      <c r="B72" s="13"/>
      <c r="C72" s="38">
        <f>SUM(C73:C78)</f>
        <v>5010</v>
      </c>
      <c r="D72" s="85"/>
      <c r="E72" s="85"/>
      <c r="F72" s="85"/>
    </row>
    <row r="73" spans="1:6" s="98" customFormat="1" ht="28.5" customHeight="1" x14ac:dyDescent="0.25">
      <c r="A73" s="82" t="s">
        <v>289</v>
      </c>
      <c r="B73" s="13"/>
      <c r="C73" s="115">
        <v>10</v>
      </c>
      <c r="D73" s="85"/>
      <c r="E73" s="85"/>
      <c r="F73" s="85"/>
    </row>
    <row r="74" spans="1:6" s="98" customFormat="1" x14ac:dyDescent="0.25">
      <c r="A74" s="46" t="s">
        <v>17</v>
      </c>
      <c r="B74" s="13"/>
      <c r="C74" s="39">
        <v>1000</v>
      </c>
      <c r="D74" s="85"/>
      <c r="E74" s="85"/>
      <c r="F74" s="85"/>
    </row>
    <row r="75" spans="1:6" s="98" customFormat="1" ht="30" x14ac:dyDescent="0.25">
      <c r="A75" s="82" t="s">
        <v>212</v>
      </c>
      <c r="B75" s="13"/>
      <c r="C75" s="39">
        <v>150</v>
      </c>
      <c r="D75" s="85"/>
      <c r="E75" s="85"/>
      <c r="F75" s="85"/>
    </row>
    <row r="76" spans="1:6" s="98" customFormat="1" ht="30" x14ac:dyDescent="0.25">
      <c r="A76" s="82" t="s">
        <v>199</v>
      </c>
      <c r="B76" s="13"/>
      <c r="C76" s="39">
        <v>1900</v>
      </c>
      <c r="D76" s="85"/>
      <c r="E76" s="85"/>
      <c r="F76" s="85"/>
    </row>
    <row r="77" spans="1:6" s="98" customFormat="1" ht="30" x14ac:dyDescent="0.25">
      <c r="A77" s="82" t="s">
        <v>200</v>
      </c>
      <c r="B77" s="13"/>
      <c r="C77" s="39">
        <v>950</v>
      </c>
      <c r="D77" s="85"/>
      <c r="E77" s="85"/>
      <c r="F77" s="85"/>
    </row>
    <row r="78" spans="1:6" s="98" customFormat="1" x14ac:dyDescent="0.25">
      <c r="A78" s="82" t="s">
        <v>201</v>
      </c>
      <c r="B78" s="13"/>
      <c r="C78" s="39">
        <v>1000</v>
      </c>
      <c r="D78" s="85"/>
      <c r="E78" s="85"/>
      <c r="F78" s="85"/>
    </row>
    <row r="79" spans="1:6" s="98" customFormat="1" ht="57.75" x14ac:dyDescent="0.25">
      <c r="A79" s="21" t="s">
        <v>396</v>
      </c>
      <c r="B79" s="13"/>
      <c r="C79" s="38">
        <f>C37</f>
        <v>8056</v>
      </c>
      <c r="D79" s="85"/>
      <c r="E79" s="85"/>
      <c r="F79" s="85"/>
    </row>
    <row r="80" spans="1:6" s="98" customFormat="1" x14ac:dyDescent="0.25">
      <c r="A80" s="21" t="s">
        <v>195</v>
      </c>
      <c r="B80" s="13"/>
      <c r="C80" s="38">
        <f>C52+C26</f>
        <v>96024.5</v>
      </c>
      <c r="D80" s="85"/>
      <c r="E80" s="85"/>
      <c r="F80" s="85"/>
    </row>
    <row r="81" spans="1:147" s="98" customFormat="1" ht="29.25" x14ac:dyDescent="0.25">
      <c r="A81" s="21" t="s">
        <v>196</v>
      </c>
      <c r="B81" s="13"/>
      <c r="C81" s="38">
        <f>C38</f>
        <v>30043</v>
      </c>
      <c r="D81" s="85"/>
      <c r="E81" s="85"/>
      <c r="F81" s="85"/>
    </row>
    <row r="82" spans="1:147" s="98" customFormat="1" ht="29.25" x14ac:dyDescent="0.25">
      <c r="A82" s="83" t="s">
        <v>197</v>
      </c>
      <c r="B82" s="13"/>
      <c r="C82" s="38">
        <f>C65+C32</f>
        <v>86037.212765957447</v>
      </c>
      <c r="D82" s="85"/>
      <c r="E82" s="85"/>
      <c r="F82" s="85"/>
    </row>
    <row r="83" spans="1:147" s="98" customFormat="1" ht="29.25" x14ac:dyDescent="0.25">
      <c r="A83" s="21" t="s">
        <v>198</v>
      </c>
      <c r="B83" s="13"/>
      <c r="C83" s="38">
        <f>C69+C71</f>
        <v>13200</v>
      </c>
      <c r="D83" s="85"/>
      <c r="E83" s="85"/>
      <c r="F83" s="85"/>
    </row>
    <row r="84" spans="1:147" s="98" customFormat="1" x14ac:dyDescent="0.25">
      <c r="A84" s="22" t="s">
        <v>112</v>
      </c>
      <c r="B84" s="13"/>
      <c r="C84" s="38">
        <f>C80+C81+C83+C32*2.6+C68/4.2+C79*2.6</f>
        <v>380498.82380952378</v>
      </c>
      <c r="D84" s="85"/>
      <c r="E84" s="85"/>
      <c r="F84" s="85"/>
    </row>
    <row r="85" spans="1:147" s="50" customFormat="1" x14ac:dyDescent="0.25">
      <c r="A85" s="30" t="s">
        <v>7</v>
      </c>
      <c r="B85" s="63"/>
      <c r="C85" s="54"/>
      <c r="D85" s="54"/>
      <c r="E85" s="54"/>
      <c r="F85" s="54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81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1"/>
      <c r="DF85" s="81"/>
      <c r="DG85" s="81"/>
      <c r="DH85" s="81"/>
      <c r="DI85" s="81"/>
      <c r="DJ85" s="81"/>
      <c r="DK85" s="81"/>
      <c r="DL85" s="81"/>
      <c r="DM85" s="81"/>
      <c r="DN85" s="81"/>
      <c r="DO85" s="81"/>
      <c r="DP85" s="81"/>
      <c r="DQ85" s="81"/>
      <c r="DR85" s="81"/>
      <c r="DS85" s="81"/>
      <c r="DT85" s="81"/>
      <c r="DU85" s="81"/>
      <c r="DV85" s="81"/>
      <c r="DW85" s="81"/>
      <c r="DX85" s="81"/>
      <c r="DY85" s="81"/>
      <c r="DZ85" s="81"/>
      <c r="EA85" s="81"/>
      <c r="EB85" s="81"/>
      <c r="EC85" s="81"/>
      <c r="ED85" s="81"/>
      <c r="EE85" s="81"/>
      <c r="EF85" s="81"/>
      <c r="EG85" s="81"/>
      <c r="EH85" s="81"/>
      <c r="EI85" s="81"/>
      <c r="EJ85" s="81"/>
      <c r="EK85" s="81"/>
      <c r="EL85" s="81"/>
      <c r="EM85" s="81"/>
      <c r="EN85" s="81"/>
      <c r="EO85" s="81"/>
      <c r="EP85" s="81"/>
      <c r="EQ85" s="81"/>
    </row>
    <row r="86" spans="1:147" s="50" customFormat="1" x14ac:dyDescent="0.25">
      <c r="A86" s="111" t="s">
        <v>93</v>
      </c>
      <c r="B86" s="63"/>
      <c r="C86" s="54"/>
      <c r="D86" s="54"/>
      <c r="E86" s="54"/>
      <c r="F86" s="54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81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1"/>
      <c r="CQ86" s="81"/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1"/>
      <c r="DF86" s="81"/>
      <c r="DG86" s="81"/>
      <c r="DH86" s="81"/>
      <c r="DI86" s="81"/>
      <c r="DJ86" s="81"/>
      <c r="DK86" s="81"/>
      <c r="DL86" s="81"/>
      <c r="DM86" s="81"/>
      <c r="DN86" s="81"/>
      <c r="DO86" s="81"/>
      <c r="DP86" s="81"/>
      <c r="DQ86" s="81"/>
      <c r="DR86" s="81"/>
      <c r="DS86" s="81"/>
      <c r="DT86" s="81"/>
      <c r="DU86" s="81"/>
      <c r="DV86" s="81"/>
      <c r="DW86" s="81"/>
      <c r="DX86" s="81"/>
      <c r="DY86" s="81"/>
      <c r="DZ86" s="81"/>
      <c r="EA86" s="81"/>
      <c r="EB86" s="81"/>
      <c r="EC86" s="81"/>
      <c r="ED86" s="81"/>
      <c r="EE86" s="81"/>
      <c r="EF86" s="81"/>
      <c r="EG86" s="81"/>
      <c r="EH86" s="81"/>
      <c r="EI86" s="81"/>
      <c r="EJ86" s="81"/>
      <c r="EK86" s="81"/>
      <c r="EL86" s="81"/>
      <c r="EM86" s="81"/>
      <c r="EN86" s="81"/>
      <c r="EO86" s="81"/>
      <c r="EP86" s="81"/>
      <c r="EQ86" s="81"/>
    </row>
    <row r="87" spans="1:147" s="50" customFormat="1" x14ac:dyDescent="0.25">
      <c r="A87" s="1" t="s">
        <v>21</v>
      </c>
      <c r="B87" s="52">
        <v>300</v>
      </c>
      <c r="C87" s="54">
        <v>84</v>
      </c>
      <c r="D87" s="122">
        <v>6.3</v>
      </c>
      <c r="E87" s="88">
        <f t="shared" ref="E87:E92" si="2">ROUND(F87/B87,0)</f>
        <v>2</v>
      </c>
      <c r="F87" s="2">
        <f t="shared" ref="F87:F92" si="3">ROUND(C87*D87,0)</f>
        <v>529</v>
      </c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</row>
    <row r="88" spans="1:147" s="50" customFormat="1" x14ac:dyDescent="0.25">
      <c r="A88" s="1" t="s">
        <v>55</v>
      </c>
      <c r="B88" s="52">
        <v>300</v>
      </c>
      <c r="C88" s="54">
        <v>130</v>
      </c>
      <c r="D88" s="122">
        <v>10</v>
      </c>
      <c r="E88" s="88">
        <f t="shared" si="2"/>
        <v>4</v>
      </c>
      <c r="F88" s="2">
        <f t="shared" si="3"/>
        <v>1300</v>
      </c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</row>
    <row r="89" spans="1:147" s="50" customFormat="1" x14ac:dyDescent="0.25">
      <c r="A89" s="1" t="s">
        <v>22</v>
      </c>
      <c r="B89" s="52">
        <v>300</v>
      </c>
      <c r="C89" s="54"/>
      <c r="D89" s="122">
        <v>8</v>
      </c>
      <c r="E89" s="88">
        <f t="shared" si="2"/>
        <v>0</v>
      </c>
      <c r="F89" s="2">
        <f t="shared" si="3"/>
        <v>0</v>
      </c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1"/>
      <c r="BO89" s="81"/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1"/>
      <c r="CC89" s="81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1"/>
      <c r="CQ89" s="81"/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1"/>
      <c r="DF89" s="81"/>
      <c r="DG89" s="81"/>
      <c r="DH89" s="81"/>
      <c r="DI89" s="81"/>
      <c r="DJ89" s="81"/>
      <c r="DK89" s="81"/>
      <c r="DL89" s="81"/>
      <c r="DM89" s="81"/>
      <c r="DN89" s="81"/>
      <c r="DO89" s="81"/>
      <c r="DP89" s="81"/>
      <c r="DQ89" s="81"/>
      <c r="DR89" s="81"/>
      <c r="DS89" s="81"/>
      <c r="DT89" s="81"/>
      <c r="DU89" s="81"/>
      <c r="DV89" s="81"/>
      <c r="DW89" s="81"/>
      <c r="DX89" s="81"/>
      <c r="DY89" s="81"/>
      <c r="DZ89" s="81"/>
      <c r="EA89" s="81"/>
      <c r="EB89" s="81"/>
      <c r="EC89" s="81"/>
      <c r="ED89" s="81"/>
      <c r="EE89" s="81"/>
      <c r="EF89" s="81"/>
      <c r="EG89" s="81"/>
      <c r="EH89" s="81"/>
      <c r="EI89" s="81"/>
      <c r="EJ89" s="81"/>
      <c r="EK89" s="81"/>
      <c r="EL89" s="81"/>
      <c r="EM89" s="81"/>
      <c r="EN89" s="81"/>
      <c r="EO89" s="81"/>
      <c r="EP89" s="81"/>
      <c r="EQ89" s="81"/>
    </row>
    <row r="90" spans="1:147" s="50" customFormat="1" x14ac:dyDescent="0.25">
      <c r="A90" s="1" t="s">
        <v>24</v>
      </c>
      <c r="B90" s="52">
        <v>300</v>
      </c>
      <c r="C90" s="54">
        <f>162+252</f>
        <v>414</v>
      </c>
      <c r="D90" s="122">
        <v>10</v>
      </c>
      <c r="E90" s="88">
        <f t="shared" si="2"/>
        <v>14</v>
      </c>
      <c r="F90" s="2">
        <f t="shared" si="3"/>
        <v>4140</v>
      </c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1"/>
    </row>
    <row r="91" spans="1:147" s="50" customFormat="1" x14ac:dyDescent="0.25">
      <c r="A91" s="1" t="s">
        <v>19</v>
      </c>
      <c r="B91" s="52">
        <v>300</v>
      </c>
      <c r="C91" s="54">
        <f>774-252</f>
        <v>522</v>
      </c>
      <c r="D91" s="122">
        <v>10.7</v>
      </c>
      <c r="E91" s="88">
        <f t="shared" si="2"/>
        <v>19</v>
      </c>
      <c r="F91" s="2">
        <f t="shared" si="3"/>
        <v>5585</v>
      </c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  <c r="DU91" s="81"/>
      <c r="DV91" s="81"/>
      <c r="DW91" s="81"/>
      <c r="DX91" s="81"/>
      <c r="DY91" s="81"/>
      <c r="DZ91" s="81"/>
      <c r="EA91" s="81"/>
      <c r="EB91" s="81"/>
      <c r="EC91" s="81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1"/>
    </row>
    <row r="92" spans="1:147" s="50" customFormat="1" x14ac:dyDescent="0.25">
      <c r="A92" s="1" t="s">
        <v>10</v>
      </c>
      <c r="B92" s="52">
        <v>300</v>
      </c>
      <c r="C92" s="54">
        <v>251</v>
      </c>
      <c r="D92" s="122">
        <v>8.5</v>
      </c>
      <c r="E92" s="88">
        <f t="shared" si="2"/>
        <v>7</v>
      </c>
      <c r="F92" s="2">
        <f t="shared" si="3"/>
        <v>2134</v>
      </c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1"/>
      <c r="DF92" s="81"/>
      <c r="DG92" s="81"/>
      <c r="DH92" s="81"/>
      <c r="DI92" s="81"/>
      <c r="DJ92" s="81"/>
      <c r="DK92" s="81"/>
      <c r="DL92" s="81"/>
      <c r="DM92" s="81"/>
      <c r="DN92" s="81"/>
      <c r="DO92" s="81"/>
      <c r="DP92" s="81"/>
      <c r="DQ92" s="81"/>
      <c r="DR92" s="81"/>
      <c r="DS92" s="81"/>
      <c r="DT92" s="81"/>
      <c r="DU92" s="81"/>
      <c r="DV92" s="81"/>
      <c r="DW92" s="81"/>
      <c r="DX92" s="81"/>
      <c r="DY92" s="81"/>
      <c r="DZ92" s="81"/>
      <c r="EA92" s="81"/>
      <c r="EB92" s="81"/>
      <c r="EC92" s="81"/>
      <c r="ED92" s="81"/>
      <c r="EE92" s="81"/>
      <c r="EF92" s="81"/>
      <c r="EG92" s="81"/>
      <c r="EH92" s="81"/>
      <c r="EI92" s="81"/>
      <c r="EJ92" s="81"/>
      <c r="EK92" s="81"/>
      <c r="EL92" s="81"/>
      <c r="EM92" s="81"/>
      <c r="EN92" s="81"/>
      <c r="EO92" s="81"/>
      <c r="EP92" s="81"/>
      <c r="EQ92" s="81"/>
    </row>
    <row r="93" spans="1:147" s="50" customFormat="1" x14ac:dyDescent="0.25">
      <c r="A93" s="30" t="s">
        <v>9</v>
      </c>
      <c r="B93" s="63"/>
      <c r="C93" s="90">
        <f>SUM(C87:C92)</f>
        <v>1401</v>
      </c>
      <c r="D93" s="96">
        <f>F93/C93</f>
        <v>9.7701641684511067</v>
      </c>
      <c r="E93" s="90">
        <f>SUM(E87:E92)</f>
        <v>46</v>
      </c>
      <c r="F93" s="90">
        <f>SUM(F87:F92)</f>
        <v>13688</v>
      </c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1"/>
      <c r="BG93" s="81"/>
      <c r="BH93" s="81"/>
      <c r="BI93" s="81"/>
      <c r="BJ93" s="81"/>
      <c r="BK93" s="81"/>
      <c r="BL93" s="81"/>
      <c r="BM93" s="81"/>
      <c r="BN93" s="81"/>
      <c r="BO93" s="81"/>
      <c r="BP93" s="81"/>
      <c r="BQ93" s="81"/>
      <c r="BR93" s="81"/>
      <c r="BS93" s="81"/>
      <c r="BT93" s="81"/>
      <c r="BU93" s="81"/>
      <c r="BV93" s="81"/>
      <c r="BW93" s="81"/>
      <c r="BX93" s="81"/>
      <c r="BY93" s="81"/>
      <c r="BZ93" s="81"/>
      <c r="CA93" s="81"/>
      <c r="CB93" s="81"/>
      <c r="CC93" s="81"/>
      <c r="CD93" s="81"/>
      <c r="CE93" s="81"/>
      <c r="CF93" s="81"/>
      <c r="CG93" s="81"/>
      <c r="CH93" s="81"/>
      <c r="CI93" s="81"/>
      <c r="CJ93" s="81"/>
      <c r="CK93" s="81"/>
      <c r="CL93" s="81"/>
      <c r="CM93" s="81"/>
      <c r="CN93" s="81"/>
      <c r="CO93" s="81"/>
      <c r="CP93" s="81"/>
      <c r="CQ93" s="81"/>
      <c r="CR93" s="81"/>
      <c r="CS93" s="81"/>
      <c r="CT93" s="81"/>
      <c r="CU93" s="81"/>
      <c r="CV93" s="81"/>
      <c r="CW93" s="81"/>
      <c r="CX93" s="81"/>
      <c r="CY93" s="81"/>
      <c r="CZ93" s="81"/>
      <c r="DA93" s="81"/>
      <c r="DB93" s="81"/>
      <c r="DC93" s="81"/>
      <c r="DD93" s="81"/>
      <c r="DE93" s="81"/>
      <c r="DF93" s="81"/>
      <c r="DG93" s="81"/>
      <c r="DH93" s="81"/>
      <c r="DI93" s="81"/>
      <c r="DJ93" s="81"/>
      <c r="DK93" s="81"/>
      <c r="DL93" s="81"/>
      <c r="DM93" s="81"/>
      <c r="DN93" s="81"/>
      <c r="DO93" s="81"/>
      <c r="DP93" s="81"/>
      <c r="DQ93" s="81"/>
      <c r="DR93" s="81"/>
      <c r="DS93" s="81"/>
      <c r="DT93" s="81"/>
      <c r="DU93" s="81"/>
      <c r="DV93" s="81"/>
      <c r="DW93" s="81"/>
      <c r="DX93" s="81"/>
      <c r="DY93" s="81"/>
      <c r="DZ93" s="81"/>
      <c r="EA93" s="81"/>
      <c r="EB93" s="81"/>
      <c r="EC93" s="81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1"/>
    </row>
    <row r="94" spans="1:147" s="50" customFormat="1" x14ac:dyDescent="0.25">
      <c r="A94" s="123" t="s">
        <v>18</v>
      </c>
      <c r="B94" s="63"/>
      <c r="C94" s="91"/>
      <c r="D94" s="92"/>
      <c r="E94" s="91"/>
      <c r="F94" s="9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1"/>
      <c r="BR94" s="81"/>
      <c r="BS94" s="81"/>
      <c r="BT94" s="81"/>
      <c r="BU94" s="81"/>
      <c r="BV94" s="81"/>
      <c r="BW94" s="81"/>
      <c r="BX94" s="81"/>
      <c r="BY94" s="81"/>
      <c r="BZ94" s="81"/>
      <c r="CA94" s="81"/>
      <c r="CB94" s="81"/>
      <c r="CC94" s="81"/>
      <c r="CD94" s="81"/>
      <c r="CE94" s="81"/>
      <c r="CF94" s="81"/>
      <c r="CG94" s="81"/>
      <c r="CH94" s="81"/>
      <c r="CI94" s="81"/>
      <c r="CJ94" s="81"/>
      <c r="CK94" s="81"/>
      <c r="CL94" s="81"/>
      <c r="CM94" s="81"/>
      <c r="CN94" s="81"/>
      <c r="CO94" s="81"/>
      <c r="CP94" s="81"/>
      <c r="CQ94" s="81"/>
      <c r="CR94" s="81"/>
      <c r="CS94" s="81"/>
      <c r="CT94" s="81"/>
      <c r="CU94" s="81"/>
      <c r="CV94" s="81"/>
      <c r="CW94" s="81"/>
      <c r="CX94" s="81"/>
      <c r="CY94" s="81"/>
      <c r="CZ94" s="81"/>
      <c r="DA94" s="81"/>
      <c r="DB94" s="81"/>
      <c r="DC94" s="81"/>
      <c r="DD94" s="81"/>
      <c r="DE94" s="81"/>
      <c r="DF94" s="81"/>
      <c r="DG94" s="81"/>
      <c r="DH94" s="81"/>
      <c r="DI94" s="81"/>
      <c r="DJ94" s="81"/>
      <c r="DK94" s="81"/>
      <c r="DL94" s="81"/>
      <c r="DM94" s="81"/>
      <c r="DN94" s="81"/>
      <c r="DO94" s="81"/>
      <c r="DP94" s="81"/>
      <c r="DQ94" s="81"/>
      <c r="DR94" s="81"/>
      <c r="DS94" s="81"/>
      <c r="DT94" s="81"/>
      <c r="DU94" s="81"/>
      <c r="DV94" s="81"/>
      <c r="DW94" s="81"/>
      <c r="DX94" s="81"/>
      <c r="DY94" s="81"/>
      <c r="DZ94" s="81"/>
      <c r="EA94" s="81"/>
      <c r="EB94" s="81"/>
      <c r="EC94" s="81"/>
      <c r="ED94" s="81"/>
      <c r="EE94" s="81"/>
      <c r="EF94" s="81"/>
      <c r="EG94" s="81"/>
      <c r="EH94" s="81"/>
      <c r="EI94" s="81"/>
      <c r="EJ94" s="81"/>
      <c r="EK94" s="81"/>
      <c r="EL94" s="81"/>
      <c r="EM94" s="81"/>
      <c r="EN94" s="81"/>
      <c r="EO94" s="81"/>
      <c r="EP94" s="81"/>
      <c r="EQ94" s="81"/>
    </row>
    <row r="95" spans="1:147" s="50" customFormat="1" x14ac:dyDescent="0.25">
      <c r="A95" s="99" t="s">
        <v>86</v>
      </c>
      <c r="B95" s="52">
        <v>240</v>
      </c>
      <c r="C95" s="54">
        <v>360</v>
      </c>
      <c r="D95" s="122">
        <v>5.5</v>
      </c>
      <c r="E95" s="88">
        <f>ROUND(F95/B95,0)</f>
        <v>8</v>
      </c>
      <c r="F95" s="2">
        <f>ROUND(C95*D95,0)</f>
        <v>1980</v>
      </c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/>
      <c r="BF95" s="81"/>
      <c r="BG95" s="81"/>
      <c r="BH95" s="81"/>
      <c r="BI95" s="81"/>
      <c r="BJ95" s="81"/>
      <c r="BK95" s="81"/>
      <c r="BL95" s="81"/>
      <c r="BM95" s="81"/>
      <c r="BN95" s="81"/>
      <c r="BO95" s="81"/>
      <c r="BP95" s="81"/>
      <c r="BQ95" s="81"/>
      <c r="BR95" s="81"/>
      <c r="BS95" s="81"/>
      <c r="BT95" s="81"/>
      <c r="BU95" s="81"/>
      <c r="BV95" s="81"/>
      <c r="BW95" s="81"/>
      <c r="BX95" s="81"/>
      <c r="BY95" s="81"/>
      <c r="BZ95" s="81"/>
      <c r="CA95" s="81"/>
      <c r="CB95" s="81"/>
      <c r="CC95" s="81"/>
      <c r="CD95" s="81"/>
      <c r="CE95" s="81"/>
      <c r="CF95" s="81"/>
      <c r="CG95" s="81"/>
      <c r="CH95" s="81"/>
      <c r="CI95" s="81"/>
      <c r="CJ95" s="81"/>
      <c r="CK95" s="81"/>
      <c r="CL95" s="81"/>
      <c r="CM95" s="81"/>
      <c r="CN95" s="81"/>
      <c r="CO95" s="81"/>
      <c r="CP95" s="81"/>
      <c r="CQ95" s="81"/>
      <c r="CR95" s="81"/>
      <c r="CS95" s="81"/>
      <c r="CT95" s="81"/>
      <c r="CU95" s="81"/>
      <c r="CV95" s="81"/>
      <c r="CW95" s="81"/>
      <c r="CX95" s="81"/>
      <c r="CY95" s="81"/>
      <c r="CZ95" s="81"/>
      <c r="DA95" s="81"/>
      <c r="DB95" s="81"/>
      <c r="DC95" s="81"/>
      <c r="DD95" s="81"/>
      <c r="DE95" s="81"/>
      <c r="DF95" s="81"/>
      <c r="DG95" s="81"/>
      <c r="DH95" s="81"/>
      <c r="DI95" s="81"/>
      <c r="DJ95" s="81"/>
      <c r="DK95" s="81"/>
      <c r="DL95" s="81"/>
      <c r="DM95" s="81"/>
      <c r="DN95" s="81"/>
      <c r="DO95" s="81"/>
      <c r="DP95" s="81"/>
      <c r="DQ95" s="81"/>
      <c r="DR95" s="81"/>
      <c r="DS95" s="81"/>
      <c r="DT95" s="81"/>
      <c r="DU95" s="81"/>
      <c r="DV95" s="81"/>
      <c r="DW95" s="81"/>
      <c r="DX95" s="81"/>
      <c r="DY95" s="81"/>
      <c r="DZ95" s="81"/>
      <c r="EA95" s="81"/>
      <c r="EB95" s="81"/>
      <c r="EC95" s="81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1"/>
    </row>
    <row r="96" spans="1:147" s="50" customFormat="1" x14ac:dyDescent="0.25">
      <c r="A96" s="99" t="s">
        <v>24</v>
      </c>
      <c r="B96" s="52">
        <v>240</v>
      </c>
      <c r="C96" s="54">
        <v>840</v>
      </c>
      <c r="D96" s="122">
        <v>8</v>
      </c>
      <c r="E96" s="88">
        <f>ROUND(F96/B96,0)</f>
        <v>28</v>
      </c>
      <c r="F96" s="2">
        <f>ROUND(C96*D96,0)</f>
        <v>6720</v>
      </c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1"/>
      <c r="BB96" s="81"/>
      <c r="BC96" s="81"/>
      <c r="BD96" s="81"/>
      <c r="BE96" s="81"/>
      <c r="BF96" s="81"/>
      <c r="BG96" s="81"/>
      <c r="BH96" s="81"/>
      <c r="BI96" s="81"/>
      <c r="BJ96" s="81"/>
      <c r="BK96" s="81"/>
      <c r="BL96" s="81"/>
      <c r="BM96" s="81"/>
      <c r="BN96" s="81"/>
      <c r="BO96" s="81"/>
      <c r="BP96" s="81"/>
      <c r="BQ96" s="81"/>
      <c r="BR96" s="81"/>
      <c r="BS96" s="81"/>
      <c r="BT96" s="81"/>
      <c r="BU96" s="81"/>
      <c r="BV96" s="81"/>
      <c r="BW96" s="81"/>
      <c r="BX96" s="81"/>
      <c r="BY96" s="81"/>
      <c r="BZ96" s="81"/>
      <c r="CA96" s="81"/>
      <c r="CB96" s="81"/>
      <c r="CC96" s="81"/>
      <c r="CD96" s="81"/>
      <c r="CE96" s="81"/>
      <c r="CF96" s="81"/>
      <c r="CG96" s="81"/>
      <c r="CH96" s="81"/>
      <c r="CI96" s="81"/>
      <c r="CJ96" s="81"/>
      <c r="CK96" s="81"/>
      <c r="CL96" s="81"/>
      <c r="CM96" s="81"/>
      <c r="CN96" s="81"/>
      <c r="CO96" s="81"/>
      <c r="CP96" s="81"/>
      <c r="CQ96" s="81"/>
      <c r="CR96" s="81"/>
      <c r="CS96" s="81"/>
      <c r="CT96" s="81"/>
      <c r="CU96" s="81"/>
      <c r="CV96" s="81"/>
      <c r="CW96" s="81"/>
      <c r="CX96" s="81"/>
      <c r="CY96" s="81"/>
      <c r="CZ96" s="81"/>
      <c r="DA96" s="81"/>
      <c r="DB96" s="81"/>
      <c r="DC96" s="81"/>
      <c r="DD96" s="81"/>
      <c r="DE96" s="81"/>
      <c r="DF96" s="81"/>
      <c r="DG96" s="81"/>
      <c r="DH96" s="81"/>
      <c r="DI96" s="81"/>
      <c r="DJ96" s="81"/>
      <c r="DK96" s="81"/>
      <c r="DL96" s="81"/>
      <c r="DM96" s="81"/>
      <c r="DN96" s="81"/>
      <c r="DO96" s="81"/>
      <c r="DP96" s="81"/>
      <c r="DQ96" s="81"/>
      <c r="DR96" s="81"/>
      <c r="DS96" s="81"/>
      <c r="DT96" s="81"/>
      <c r="DU96" s="81"/>
      <c r="DV96" s="81"/>
      <c r="DW96" s="81"/>
      <c r="DX96" s="81"/>
      <c r="DY96" s="81"/>
      <c r="DZ96" s="81"/>
      <c r="EA96" s="81"/>
      <c r="EB96" s="81"/>
      <c r="EC96" s="81"/>
      <c r="ED96" s="81"/>
      <c r="EE96" s="81"/>
      <c r="EF96" s="81"/>
      <c r="EG96" s="81"/>
      <c r="EH96" s="81"/>
      <c r="EI96" s="81"/>
      <c r="EJ96" s="81"/>
      <c r="EK96" s="81"/>
      <c r="EL96" s="81"/>
      <c r="EM96" s="81"/>
      <c r="EN96" s="81"/>
      <c r="EO96" s="81"/>
      <c r="EP96" s="81"/>
      <c r="EQ96" s="81"/>
    </row>
    <row r="97" spans="1:147" s="50" customFormat="1" x14ac:dyDescent="0.25">
      <c r="A97" s="99" t="s">
        <v>35</v>
      </c>
      <c r="B97" s="52">
        <v>240</v>
      </c>
      <c r="C97" s="54">
        <v>1829</v>
      </c>
      <c r="D97" s="122">
        <v>8</v>
      </c>
      <c r="E97" s="88">
        <f>ROUND(F97/B97,0)</f>
        <v>61</v>
      </c>
      <c r="F97" s="2">
        <f>ROUND(C97*D97,0)</f>
        <v>14632</v>
      </c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  <c r="AT97" s="81"/>
      <c r="AU97" s="81"/>
      <c r="AV97" s="81"/>
      <c r="AW97" s="81"/>
      <c r="AX97" s="81"/>
      <c r="AY97" s="81"/>
      <c r="AZ97" s="81"/>
      <c r="BA97" s="81"/>
      <c r="BB97" s="81"/>
      <c r="BC97" s="81"/>
      <c r="BD97" s="81"/>
      <c r="BE97" s="81"/>
      <c r="BF97" s="81"/>
      <c r="BG97" s="81"/>
      <c r="BH97" s="81"/>
      <c r="BI97" s="81"/>
      <c r="BJ97" s="81"/>
      <c r="BK97" s="81"/>
      <c r="BL97" s="81"/>
      <c r="BM97" s="81"/>
      <c r="BN97" s="81"/>
      <c r="BO97" s="81"/>
      <c r="BP97" s="81"/>
      <c r="BQ97" s="81"/>
      <c r="BR97" s="81"/>
      <c r="BS97" s="81"/>
      <c r="BT97" s="81"/>
      <c r="BU97" s="81"/>
      <c r="BV97" s="81"/>
      <c r="BW97" s="81"/>
      <c r="BX97" s="81"/>
      <c r="BY97" s="81"/>
      <c r="BZ97" s="81"/>
      <c r="CA97" s="81"/>
      <c r="CB97" s="81"/>
      <c r="CC97" s="81"/>
      <c r="CD97" s="81"/>
      <c r="CE97" s="81"/>
      <c r="CF97" s="81"/>
      <c r="CG97" s="81"/>
      <c r="CH97" s="81"/>
      <c r="CI97" s="81"/>
      <c r="CJ97" s="81"/>
      <c r="CK97" s="81"/>
      <c r="CL97" s="81"/>
      <c r="CM97" s="81"/>
      <c r="CN97" s="81"/>
      <c r="CO97" s="81"/>
      <c r="CP97" s="81"/>
      <c r="CQ97" s="81"/>
      <c r="CR97" s="81"/>
      <c r="CS97" s="81"/>
      <c r="CT97" s="81"/>
      <c r="CU97" s="81"/>
      <c r="CV97" s="81"/>
      <c r="CW97" s="81"/>
      <c r="CX97" s="81"/>
      <c r="CY97" s="81"/>
      <c r="CZ97" s="81"/>
      <c r="DA97" s="81"/>
      <c r="DB97" s="81"/>
      <c r="DC97" s="81"/>
      <c r="DD97" s="81"/>
      <c r="DE97" s="81"/>
      <c r="DF97" s="81"/>
      <c r="DG97" s="81"/>
      <c r="DH97" s="81"/>
      <c r="DI97" s="81"/>
      <c r="DJ97" s="81"/>
      <c r="DK97" s="81"/>
      <c r="DL97" s="81"/>
      <c r="DM97" s="81"/>
      <c r="DN97" s="81"/>
      <c r="DO97" s="81"/>
      <c r="DP97" s="81"/>
      <c r="DQ97" s="81"/>
      <c r="DR97" s="81"/>
      <c r="DS97" s="81"/>
      <c r="DT97" s="81"/>
      <c r="DU97" s="81"/>
      <c r="DV97" s="81"/>
      <c r="DW97" s="81"/>
      <c r="DX97" s="81"/>
      <c r="DY97" s="81"/>
      <c r="DZ97" s="81"/>
      <c r="EA97" s="81"/>
      <c r="EB97" s="81"/>
      <c r="EC97" s="81"/>
      <c r="ED97" s="81"/>
      <c r="EE97" s="81"/>
      <c r="EF97" s="81"/>
      <c r="EG97" s="81"/>
      <c r="EH97" s="81"/>
      <c r="EI97" s="81"/>
      <c r="EJ97" s="81"/>
      <c r="EK97" s="81"/>
      <c r="EL97" s="81"/>
      <c r="EM97" s="81"/>
      <c r="EN97" s="81"/>
      <c r="EO97" s="81"/>
      <c r="EP97" s="81"/>
      <c r="EQ97" s="81"/>
    </row>
    <row r="98" spans="1:147" s="50" customFormat="1" x14ac:dyDescent="0.25">
      <c r="A98" s="99" t="s">
        <v>10</v>
      </c>
      <c r="B98" s="52">
        <v>240</v>
      </c>
      <c r="C98" s="54">
        <v>980</v>
      </c>
      <c r="D98" s="122">
        <v>3</v>
      </c>
      <c r="E98" s="88">
        <f>ROUND(F98/B98,0)</f>
        <v>12</v>
      </c>
      <c r="F98" s="2">
        <f>ROUND(C98*D98,0)</f>
        <v>2940</v>
      </c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1"/>
      <c r="CC98" s="81"/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1"/>
      <c r="CQ98" s="81"/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1"/>
      <c r="DF98" s="81"/>
      <c r="DG98" s="81"/>
      <c r="DH98" s="81"/>
      <c r="DI98" s="81"/>
      <c r="DJ98" s="81"/>
      <c r="DK98" s="81"/>
      <c r="DL98" s="81"/>
      <c r="DM98" s="81"/>
      <c r="DN98" s="81"/>
      <c r="DO98" s="81"/>
      <c r="DP98" s="81"/>
      <c r="DQ98" s="81"/>
      <c r="DR98" s="81"/>
      <c r="DS98" s="81"/>
      <c r="DT98" s="81"/>
      <c r="DU98" s="81"/>
      <c r="DV98" s="81"/>
      <c r="DW98" s="81"/>
      <c r="DX98" s="81"/>
      <c r="DY98" s="81"/>
      <c r="DZ98" s="81"/>
      <c r="EA98" s="81"/>
      <c r="EB98" s="81"/>
      <c r="EC98" s="81"/>
      <c r="ED98" s="81"/>
      <c r="EE98" s="81"/>
      <c r="EF98" s="81"/>
      <c r="EG98" s="81"/>
      <c r="EH98" s="81"/>
      <c r="EI98" s="81"/>
      <c r="EJ98" s="81"/>
      <c r="EK98" s="81"/>
      <c r="EL98" s="81"/>
      <c r="EM98" s="81"/>
      <c r="EN98" s="81"/>
      <c r="EO98" s="81"/>
      <c r="EP98" s="81"/>
      <c r="EQ98" s="81"/>
    </row>
    <row r="99" spans="1:147" s="50" customFormat="1" x14ac:dyDescent="0.25">
      <c r="A99" s="100" t="s">
        <v>94</v>
      </c>
      <c r="B99" s="52"/>
      <c r="C99" s="78">
        <f>SUM(C95:C98)</f>
        <v>4009</v>
      </c>
      <c r="D99" s="96">
        <f>F99/C99</f>
        <v>6.5532551758543276</v>
      </c>
      <c r="E99" s="78">
        <f t="shared" ref="E99:F99" si="4">SUM(E95:E98)</f>
        <v>109</v>
      </c>
      <c r="F99" s="78">
        <f t="shared" si="4"/>
        <v>26272</v>
      </c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81"/>
      <c r="BH99" s="81"/>
      <c r="BI99" s="81"/>
      <c r="BJ99" s="81"/>
      <c r="BK99" s="81"/>
      <c r="BL99" s="81"/>
      <c r="BM99" s="81"/>
      <c r="BN99" s="81"/>
      <c r="BO99" s="81"/>
      <c r="BP99" s="81"/>
      <c r="BQ99" s="81"/>
      <c r="BR99" s="81"/>
      <c r="BS99" s="81"/>
      <c r="BT99" s="81"/>
      <c r="BU99" s="81"/>
      <c r="BV99" s="81"/>
      <c r="BW99" s="81"/>
      <c r="BX99" s="81"/>
      <c r="BY99" s="81"/>
      <c r="BZ99" s="81"/>
      <c r="CA99" s="81"/>
      <c r="CB99" s="81"/>
      <c r="CC99" s="81"/>
      <c r="CD99" s="81"/>
      <c r="CE99" s="81"/>
      <c r="CF99" s="81"/>
      <c r="CG99" s="81"/>
      <c r="CH99" s="81"/>
      <c r="CI99" s="81"/>
      <c r="CJ99" s="81"/>
      <c r="CK99" s="81"/>
      <c r="CL99" s="81"/>
      <c r="CM99" s="81"/>
      <c r="CN99" s="81"/>
      <c r="CO99" s="81"/>
      <c r="CP99" s="81"/>
      <c r="CQ99" s="81"/>
      <c r="CR99" s="81"/>
      <c r="CS99" s="81"/>
      <c r="CT99" s="81"/>
      <c r="CU99" s="81"/>
      <c r="CV99" s="81"/>
      <c r="CW99" s="81"/>
      <c r="CX99" s="81"/>
      <c r="CY99" s="81"/>
      <c r="CZ99" s="81"/>
      <c r="DA99" s="81"/>
      <c r="DB99" s="81"/>
      <c r="DC99" s="81"/>
      <c r="DD99" s="81"/>
      <c r="DE99" s="81"/>
      <c r="DF99" s="81"/>
      <c r="DG99" s="81"/>
      <c r="DH99" s="81"/>
      <c r="DI99" s="81"/>
      <c r="DJ99" s="81"/>
      <c r="DK99" s="81"/>
      <c r="DL99" s="81"/>
      <c r="DM99" s="81"/>
      <c r="DN99" s="81"/>
      <c r="DO99" s="81"/>
      <c r="DP99" s="81"/>
      <c r="DQ99" s="81"/>
      <c r="DR99" s="81"/>
      <c r="DS99" s="81"/>
      <c r="DT99" s="81"/>
      <c r="DU99" s="81"/>
      <c r="DV99" s="81"/>
      <c r="DW99" s="81"/>
      <c r="DX99" s="81"/>
      <c r="DY99" s="81"/>
      <c r="DZ99" s="81"/>
      <c r="EA99" s="81"/>
      <c r="EB99" s="81"/>
      <c r="EC99" s="81"/>
      <c r="ED99" s="81"/>
      <c r="EE99" s="81"/>
      <c r="EF99" s="81"/>
      <c r="EG99" s="81"/>
      <c r="EH99" s="81"/>
      <c r="EI99" s="81"/>
      <c r="EJ99" s="81"/>
      <c r="EK99" s="81"/>
      <c r="EL99" s="81"/>
      <c r="EM99" s="81"/>
      <c r="EN99" s="81"/>
      <c r="EO99" s="81"/>
      <c r="EP99" s="81"/>
      <c r="EQ99" s="81"/>
    </row>
    <row r="100" spans="1:147" s="50" customFormat="1" ht="29.25" x14ac:dyDescent="0.25">
      <c r="A100" s="124" t="s">
        <v>88</v>
      </c>
      <c r="B100" s="97"/>
      <c r="C100" s="59">
        <f>C99+C93</f>
        <v>5410</v>
      </c>
      <c r="D100" s="96">
        <f>F100/C100</f>
        <v>7.3863216266173755</v>
      </c>
      <c r="E100" s="59">
        <f>E93+E99</f>
        <v>155</v>
      </c>
      <c r="F100" s="59">
        <f>F93+F99</f>
        <v>39960</v>
      </c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81"/>
      <c r="AU100" s="81"/>
      <c r="AV100" s="81"/>
      <c r="AW100" s="81"/>
      <c r="AX100" s="81"/>
      <c r="AY100" s="81"/>
      <c r="AZ100" s="81"/>
      <c r="BA100" s="81"/>
      <c r="BB100" s="81"/>
      <c r="BC100" s="81"/>
      <c r="BD100" s="81"/>
      <c r="BE100" s="81"/>
      <c r="BF100" s="81"/>
      <c r="BG100" s="81"/>
      <c r="BH100" s="81"/>
      <c r="BI100" s="81"/>
      <c r="BJ100" s="81"/>
      <c r="BK100" s="81"/>
      <c r="BL100" s="81"/>
      <c r="BM100" s="81"/>
      <c r="BN100" s="81"/>
      <c r="BO100" s="81"/>
      <c r="BP100" s="81"/>
      <c r="BQ100" s="81"/>
      <c r="BR100" s="81"/>
      <c r="BS100" s="81"/>
      <c r="BT100" s="81"/>
      <c r="BU100" s="81"/>
      <c r="BV100" s="81"/>
      <c r="BW100" s="81"/>
      <c r="BX100" s="81"/>
      <c r="BY100" s="81"/>
      <c r="BZ100" s="81"/>
      <c r="CA100" s="81"/>
      <c r="CB100" s="81"/>
      <c r="CC100" s="81"/>
      <c r="CD100" s="81"/>
      <c r="CE100" s="81"/>
      <c r="CF100" s="81"/>
      <c r="CG100" s="81"/>
      <c r="CH100" s="81"/>
      <c r="CI100" s="81"/>
      <c r="CJ100" s="81"/>
      <c r="CK100" s="81"/>
      <c r="CL100" s="81"/>
      <c r="CM100" s="81"/>
      <c r="CN100" s="81"/>
      <c r="CO100" s="81"/>
      <c r="CP100" s="81"/>
      <c r="CQ100" s="81"/>
      <c r="CR100" s="81"/>
      <c r="CS100" s="81"/>
      <c r="CT100" s="81"/>
      <c r="CU100" s="81"/>
      <c r="CV100" s="81"/>
      <c r="CW100" s="81"/>
      <c r="CX100" s="81"/>
      <c r="CY100" s="81"/>
      <c r="CZ100" s="81"/>
      <c r="DA100" s="81"/>
      <c r="DB100" s="81"/>
      <c r="DC100" s="81"/>
      <c r="DD100" s="81"/>
      <c r="DE100" s="81"/>
      <c r="DF100" s="81"/>
      <c r="DG100" s="81"/>
      <c r="DH100" s="81"/>
      <c r="DI100" s="81"/>
      <c r="DJ100" s="81"/>
      <c r="DK100" s="81"/>
      <c r="DL100" s="81"/>
      <c r="DM100" s="81"/>
      <c r="DN100" s="81"/>
      <c r="DO100" s="81"/>
      <c r="DP100" s="81"/>
      <c r="DQ100" s="81"/>
      <c r="DR100" s="81"/>
      <c r="DS100" s="81"/>
      <c r="DT100" s="81"/>
      <c r="DU100" s="81"/>
      <c r="DV100" s="81"/>
      <c r="DW100" s="81"/>
      <c r="DX100" s="81"/>
      <c r="DY100" s="81"/>
      <c r="DZ100" s="81"/>
      <c r="EA100" s="81"/>
      <c r="EB100" s="81"/>
      <c r="EC100" s="81"/>
      <c r="ED100" s="81"/>
      <c r="EE100" s="81"/>
      <c r="EF100" s="81"/>
      <c r="EG100" s="81"/>
      <c r="EH100" s="81"/>
      <c r="EI100" s="81"/>
      <c r="EJ100" s="81"/>
      <c r="EK100" s="81"/>
      <c r="EL100" s="81"/>
      <c r="EM100" s="81"/>
      <c r="EN100" s="81"/>
      <c r="EO100" s="81"/>
      <c r="EP100" s="81"/>
      <c r="EQ100" s="81"/>
    </row>
    <row r="101" spans="1:147" ht="15.75" x14ac:dyDescent="0.25">
      <c r="A101" s="101" t="s">
        <v>73</v>
      </c>
      <c r="B101" s="28"/>
      <c r="C101" s="37">
        <f>C102</f>
        <v>10900</v>
      </c>
      <c r="D101" s="107"/>
      <c r="E101" s="107"/>
      <c r="F101" s="88"/>
    </row>
    <row r="102" spans="1:147" x14ac:dyDescent="0.25">
      <c r="A102" s="102" t="s">
        <v>105</v>
      </c>
      <c r="B102" s="103"/>
      <c r="C102" s="28">
        <f>C103+C104</f>
        <v>10900</v>
      </c>
      <c r="D102" s="46"/>
      <c r="E102" s="46"/>
      <c r="F102" s="103"/>
    </row>
    <row r="103" spans="1:147" x14ac:dyDescent="0.25">
      <c r="A103" s="104" t="s">
        <v>106</v>
      </c>
      <c r="B103" s="103"/>
      <c r="C103" s="45">
        <v>10880</v>
      </c>
      <c r="D103" s="103"/>
      <c r="E103" s="103"/>
      <c r="F103" s="103"/>
    </row>
    <row r="104" spans="1:147" ht="30.75" thickBot="1" x14ac:dyDescent="0.3">
      <c r="A104" s="104" t="s">
        <v>107</v>
      </c>
      <c r="B104" s="110"/>
      <c r="C104" s="108">
        <v>20</v>
      </c>
      <c r="D104" s="103"/>
      <c r="E104" s="103"/>
      <c r="F104" s="103"/>
    </row>
    <row r="105" spans="1:147" ht="15.75" thickBot="1" x14ac:dyDescent="0.3">
      <c r="A105" s="105" t="s">
        <v>213</v>
      </c>
      <c r="B105" s="106"/>
      <c r="C105" s="125"/>
      <c r="D105" s="106"/>
      <c r="E105" s="106"/>
      <c r="F105" s="106"/>
    </row>
    <row r="106" spans="1:147" x14ac:dyDescent="0.25">
      <c r="A106" s="109"/>
      <c r="B106" s="72"/>
      <c r="C106" s="72"/>
      <c r="D106" s="72"/>
      <c r="E106" s="72"/>
      <c r="F106" s="72"/>
    </row>
    <row r="276" spans="5:5" x14ac:dyDescent="0.25">
      <c r="E276" s="120">
        <f>914-45-1-58-34-17</f>
        <v>759</v>
      </c>
    </row>
    <row r="277" spans="5:5" x14ac:dyDescent="0.25">
      <c r="E277" s="120">
        <f>1722-5-35-10-36</f>
        <v>1636</v>
      </c>
    </row>
    <row r="395" spans="5:5" x14ac:dyDescent="0.25">
      <c r="E395" s="120">
        <f>4448-900</f>
        <v>3548</v>
      </c>
    </row>
    <row r="423" spans="5:5" x14ac:dyDescent="0.25">
      <c r="E423" s="120">
        <f>4197+875</f>
        <v>5072</v>
      </c>
    </row>
    <row r="608" spans="5:5" ht="27.75" customHeight="1" x14ac:dyDescent="0.25">
      <c r="E608" s="120">
        <f>E610+E611+E615+E614+E616+E609</f>
        <v>2000</v>
      </c>
    </row>
    <row r="609" spans="5:5" x14ac:dyDescent="0.25">
      <c r="E609" s="120">
        <v>2000</v>
      </c>
    </row>
    <row r="633" spans="5:5" x14ac:dyDescent="0.25">
      <c r="E633" s="120">
        <v>500</v>
      </c>
    </row>
    <row r="1383" spans="5:5" x14ac:dyDescent="0.25">
      <c r="E1383" s="120">
        <f>SUM(E891,E406,E609)</f>
        <v>2000</v>
      </c>
    </row>
  </sheetData>
  <autoFilter ref="A9:EQ9"/>
  <sortState ref="A77:F82">
    <sortCondition ref="A77:A82"/>
  </sortState>
  <mergeCells count="8">
    <mergeCell ref="E1:F1"/>
    <mergeCell ref="D2:F2"/>
    <mergeCell ref="A4:F5"/>
    <mergeCell ref="B6:B8"/>
    <mergeCell ref="E6:E8"/>
    <mergeCell ref="D6:D8"/>
    <mergeCell ref="C6:C8"/>
    <mergeCell ref="F6:F8"/>
  </mergeCells>
  <pageMargins left="0.78740157480314965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Хабаровск-1</vt:lpstr>
      <vt:lpstr>Хабаровск-2</vt:lpstr>
      <vt:lpstr>Комсомольск</vt:lpstr>
      <vt:lpstr>Верхнебур</vt:lpstr>
      <vt:lpstr>ЛАЗО</vt:lpstr>
      <vt:lpstr>Верхнебур!Заголовки_для_печати</vt:lpstr>
      <vt:lpstr>Комсомольск!Заголовки_для_печати</vt:lpstr>
      <vt:lpstr>ЛАЗО!Заголовки_для_печати</vt:lpstr>
      <vt:lpstr>'Хабаровск-1'!Заголовки_для_печати</vt:lpstr>
      <vt:lpstr>'Хабаровск-2'!Заголовки_для_печати</vt:lpstr>
      <vt:lpstr>Верхнебур!Область_печати</vt:lpstr>
      <vt:lpstr>Комсомольск!Область_печати</vt:lpstr>
      <vt:lpstr>ЛАЗО!Область_печати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Михайлова Татьяна Витальевна</cp:lastModifiedBy>
  <cp:lastPrinted>2023-05-26T05:27:38Z</cp:lastPrinted>
  <dcterms:created xsi:type="dcterms:W3CDTF">2011-12-09T04:00:35Z</dcterms:created>
  <dcterms:modified xsi:type="dcterms:W3CDTF">2023-07-04T07:23:24Z</dcterms:modified>
</cp:coreProperties>
</file>